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omments1.xml" ContentType="application/vnd.openxmlformats-officedocument.spreadsheetml.comments+xml"/>
  <Override PartName="/xl/threadedComments/threadedComment1.xml" ContentType="application/vnd.ms-excel.threadedcomment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dot\DFSRoot01\Groups-TPMUCC\ProgramManagement–Grants\MPDG 2023\H - A-0009DC GRAHAM\07 Application Documentation\a Grants.gov\"/>
    </mc:Choice>
  </mc:AlternateContent>
  <xr:revisionPtr revIDLastSave="0" documentId="13_ncr:1_{6D893ED8-4F41-4C2B-B4D1-642438D6B19B}" xr6:coauthVersionLast="47" xr6:coauthVersionMax="47" xr10:uidLastSave="{00000000-0000-0000-0000-000000000000}"/>
  <bookViews>
    <workbookView xWindow="41280" yWindow="2880" windowWidth="22050" windowHeight="10050" tabRatio="870" xr2:uid="{00000000-000D-0000-FFFF-FFFF00000000}"/>
  </bookViews>
  <sheets>
    <sheet name="BCA-Summary" sheetId="21" r:id="rId1"/>
    <sheet name="ImpactMatrix" sheetId="38" r:id="rId2"/>
    <sheet name="CapitalCosts " sheetId="12" r:id="rId3"/>
    <sheet name="Inputs" sheetId="3" r:id="rId4"/>
    <sheet name="O&amp;M_Costs" sheetId="22" r:id="rId5"/>
    <sheet name="Safety" sheetId="20" r:id="rId6"/>
    <sheet name="Wildlife Safety" sheetId="36" r:id="rId7"/>
    <sheet name="TT_Savings" sheetId="1" r:id="rId8"/>
    <sheet name="Maint Delays Avoidance" sheetId="31" r:id="rId9"/>
    <sheet name="DMS Delay Avoidance" sheetId="49" r:id="rId10"/>
    <sheet name="ParatransitTT_Savings" sheetId="47" r:id="rId11"/>
    <sheet name="SignalCoord" sheetId="42" r:id="rId12"/>
    <sheet name="AgAccess" sheetId="44" r:id="rId13"/>
    <sheet name="EmergencyServices" sheetId="39" r:id="rId14"/>
    <sheet name="Emissions-Idling" sheetId="37" r:id="rId15"/>
    <sheet name="Non-Motorist Savings" sheetId="43" r:id="rId16"/>
    <sheet name="Residual" sheetId="13" r:id="rId17"/>
    <sheet name="143O&amp;M" sheetId="48" r:id="rId18"/>
    <sheet name="TIMS_Summary" sheetId="54" r:id="rId19"/>
    <sheet name="TrafficData" sheetId="29" r:id="rId20"/>
    <sheet name="AT User Data" sheetId="55" r:id="rId21"/>
    <sheet name="Emissions Rates" sheetId="35" r:id="rId22"/>
    <sheet name="CMFs" sheetId="45" r:id="rId23"/>
    <sheet name="Cost&amp;Schedule" sheetId="41" r:id="rId24"/>
    <sheet name="ARTI TruckOp_hr" sheetId="56" r:id="rId25"/>
    <sheet name="Deflator" sheetId="6"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A" localSheetId="4">#REF!</definedName>
    <definedName name="\A">#REF!</definedName>
    <definedName name="\B" localSheetId="4">#REF!</definedName>
    <definedName name="\B">#REF!</definedName>
    <definedName name="\p" localSheetId="4">#REF!</definedName>
    <definedName name="\p">#REF!</definedName>
    <definedName name="\S" localSheetId="4">#REF!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 localSheetId="4">#REF!</definedName>
    <definedName name="____________RG1">#REF!</definedName>
    <definedName name="____________RG2" localSheetId="4">#REF!</definedName>
    <definedName name="____________RG2">#REF!</definedName>
    <definedName name="____________RG3" localSheetId="4">#REF!</definedName>
    <definedName name="____________RG3">#REF!</definedName>
    <definedName name="____________RG4" localSheetId="4">#REF!</definedName>
    <definedName name="____________RG4">#REF!</definedName>
    <definedName name="___________ALL2">'[1]A-11a Balance Sheet Recons'!$B$11:$J$42</definedName>
    <definedName name="___________RG1" localSheetId="4">#REF!</definedName>
    <definedName name="___________RG1">#REF!</definedName>
    <definedName name="___________RG2" localSheetId="4">#REF!</definedName>
    <definedName name="___________RG2">#REF!</definedName>
    <definedName name="___________RG3" localSheetId="4">#REF!</definedName>
    <definedName name="___________RG3">#REF!</definedName>
    <definedName name="___________RG4" localSheetId="4">#REF!</definedName>
    <definedName name="___________RG4">#REF!</definedName>
    <definedName name="__________ALL2">'[1]A-11a Balance Sheet Recons'!$B$11:$J$42</definedName>
    <definedName name="__________RG1" localSheetId="4">#REF!</definedName>
    <definedName name="__________RG1">#REF!</definedName>
    <definedName name="__________RG2" localSheetId="4">#REF!</definedName>
    <definedName name="__________RG2">#REF!</definedName>
    <definedName name="__________RG3" localSheetId="4">#REF!</definedName>
    <definedName name="__________RG3">#REF!</definedName>
    <definedName name="__________RG4" localSheetId="4">#REF!</definedName>
    <definedName name="__________RG4">#REF!</definedName>
    <definedName name="_________ALL2">'[1]A-11a Balance Sheet Recons'!$B$11:$J$42</definedName>
    <definedName name="_________RG1" localSheetId="4">#REF!</definedName>
    <definedName name="_________RG1">#REF!</definedName>
    <definedName name="_________RG2" localSheetId="4">#REF!</definedName>
    <definedName name="_________RG2">#REF!</definedName>
    <definedName name="_________RG3" localSheetId="4">#REF!</definedName>
    <definedName name="_________RG3">#REF!</definedName>
    <definedName name="_________RG4" localSheetId="4">#REF!</definedName>
    <definedName name="_________RG4">#REF!</definedName>
    <definedName name="________ALL2">'[1]A-11a Balance Sheet Recons'!$B$11:$J$42</definedName>
    <definedName name="________RG1" localSheetId="4">#REF!</definedName>
    <definedName name="________RG1">#REF!</definedName>
    <definedName name="________RG2" localSheetId="4">#REF!</definedName>
    <definedName name="________RG2">#REF!</definedName>
    <definedName name="________RG3" localSheetId="4">#REF!</definedName>
    <definedName name="________RG3">#REF!</definedName>
    <definedName name="________RG4" localSheetId="4">#REF!</definedName>
    <definedName name="________RG4">#REF!</definedName>
    <definedName name="_______ALL2">'[1]A-11a Balance Sheet Recons'!$B$11:$J$42</definedName>
    <definedName name="_______RG1" localSheetId="4">#REF!</definedName>
    <definedName name="_______RG1">#REF!</definedName>
    <definedName name="_______RG2" localSheetId="4">#REF!</definedName>
    <definedName name="_______RG2">#REF!</definedName>
    <definedName name="_______RG3" localSheetId="4">#REF!</definedName>
    <definedName name="_______RG3">#REF!</definedName>
    <definedName name="_______RG4" localSheetId="4">#REF!</definedName>
    <definedName name="_______RG4">#REF!</definedName>
    <definedName name="______ALL2">'[1]A-11a Balance Sheet Recons'!$B$11:$J$42</definedName>
    <definedName name="______RG1" localSheetId="4">#REF!</definedName>
    <definedName name="______RG1">#REF!</definedName>
    <definedName name="______RG2" localSheetId="4">#REF!</definedName>
    <definedName name="______RG2">#REF!</definedName>
    <definedName name="______RG3" localSheetId="4">#REF!</definedName>
    <definedName name="______RG3">#REF!</definedName>
    <definedName name="______RG4" localSheetId="4">#REF!</definedName>
    <definedName name="______RG4">#REF!</definedName>
    <definedName name="_____ALL2">'[1]A-11a Balance Sheet Recons'!$B$11:$J$42</definedName>
    <definedName name="_____RG1" localSheetId="4">#REF!</definedName>
    <definedName name="_____RG1">#REF!</definedName>
    <definedName name="_____RG2" localSheetId="4">#REF!</definedName>
    <definedName name="_____RG2">#REF!</definedName>
    <definedName name="_____RG3" localSheetId="4">#REF!</definedName>
    <definedName name="_____RG3">#REF!</definedName>
    <definedName name="_____RG4" localSheetId="4">#REF!</definedName>
    <definedName name="_____RG4">#REF!</definedName>
    <definedName name="____ALL2">'[1]A-11a Balance Sheet Recons'!$B$11:$J$42</definedName>
    <definedName name="____RG1" localSheetId="4">#REF!</definedName>
    <definedName name="____RG1">#REF!</definedName>
    <definedName name="____RG2" localSheetId="4">#REF!</definedName>
    <definedName name="____RG2">#REF!</definedName>
    <definedName name="____RG3" localSheetId="4">#REF!</definedName>
    <definedName name="____RG3">#REF!</definedName>
    <definedName name="____RG4" localSheetId="4">#REF!</definedName>
    <definedName name="____RG4">#REF!</definedName>
    <definedName name="___ALL2">'[1]A-11a Balance Sheet Recons'!$B$11:$J$42</definedName>
    <definedName name="___RG1" localSheetId="4">#REF!</definedName>
    <definedName name="___RG1">#REF!</definedName>
    <definedName name="___RG2" localSheetId="4">#REF!</definedName>
    <definedName name="___RG2">#REF!</definedName>
    <definedName name="___RG3" localSheetId="4">#REF!</definedName>
    <definedName name="___RG3">#REF!</definedName>
    <definedName name="___RG4" localSheetId="4">#REF!</definedName>
    <definedName name="___RG4">#REF!</definedName>
    <definedName name="__ALL2">'[1]A-11a Balance Sheet Recons'!$B$11:$J$42</definedName>
    <definedName name="__RG1" localSheetId="4">#REF!</definedName>
    <definedName name="__RG1">#REF!</definedName>
    <definedName name="__RG2" localSheetId="4">#REF!</definedName>
    <definedName name="__RG2">#REF!</definedName>
    <definedName name="__RG3" localSheetId="4">#REF!</definedName>
    <definedName name="__RG3">#REF!</definedName>
    <definedName name="__RG4" localSheetId="4">#REF!</definedName>
    <definedName name="__RG4">#REF!</definedName>
    <definedName name="_12_MONTHS" localSheetId="4">#REF!</definedName>
    <definedName name="_12_MONTHS">#REF!</definedName>
    <definedName name="_12_PAGE_25MO" localSheetId="4">#REF!</definedName>
    <definedName name="_12_PAGE_25MO">#REF!</definedName>
    <definedName name="_ALL2">'[1]A-11a Balance Sheet Recons'!$B$11:$J$42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13</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OW1" localSheetId="4">#REF!</definedName>
    <definedName name="_COW1">#REF!</definedName>
    <definedName name="_COW2" localSheetId="4">#REF!</definedName>
    <definedName name="_COW2">#REF!</definedName>
    <definedName name="_Fill" localSheetId="4" hidden="1">#REF!</definedName>
    <definedName name="_Fill" hidden="1">#REF!</definedName>
    <definedName name="_xlnm._FilterDatabase" localSheetId="17" hidden="1">'143O&amp;M'!$M$1:$M$594</definedName>
    <definedName name="_Key1" localSheetId="4" hidden="1">'[2]Journal Entry'!#REF!</definedName>
    <definedName name="_Key1" hidden="1">'[2]Journal Entry'!#REF!</definedName>
    <definedName name="_Key2" localSheetId="4" hidden="1">'[2]Journal Entry'!#REF!</definedName>
    <definedName name="_Key2" hidden="1">'[2]Journal Entry'!#REF!</definedName>
    <definedName name="_Order1" hidden="1">255</definedName>
    <definedName name="_Order2" hidden="1">255</definedName>
    <definedName name="_ppp1" localSheetId="4">#REF!</definedName>
    <definedName name="_ppp1">#REF!</definedName>
    <definedName name="_ppp2" localSheetId="4">#REF!</definedName>
    <definedName name="_ppp2">#REF!</definedName>
    <definedName name="_ppp3" localSheetId="4">#REF!</definedName>
    <definedName name="_ppp3">#REF!</definedName>
    <definedName name="_RG1" localSheetId="4">#REF!</definedName>
    <definedName name="_RG1">#REF!</definedName>
    <definedName name="_RG2" localSheetId="4">#REF!</definedName>
    <definedName name="_RG2">#REF!</definedName>
    <definedName name="_RG3" localSheetId="4">#REF!</definedName>
    <definedName name="_RG3">#REF!</definedName>
    <definedName name="_RG4" localSheetId="4">#REF!</definedName>
    <definedName name="_RG4">#REF!</definedName>
    <definedName name="_ST1" localSheetId="4">#REF!</definedName>
    <definedName name="_ST1">#REF!</definedName>
    <definedName name="_ST2" localSheetId="4">#REF!</definedName>
    <definedName name="_ST2">#REF!</definedName>
    <definedName name="_SUB1" localSheetId="4">#REF!</definedName>
    <definedName name="_SUB1">#REF!</definedName>
    <definedName name="_SUB2" localSheetId="4">#REF!</definedName>
    <definedName name="_SUB2">#REF!</definedName>
    <definedName name="_SUB3" localSheetId="4">#REF!</definedName>
    <definedName name="_SUB3">#REF!</definedName>
    <definedName name="_SUB4" localSheetId="4">#REF!</definedName>
    <definedName name="_SUB4">#REF!</definedName>
    <definedName name="_SUB5" localSheetId="4">#REF!</definedName>
    <definedName name="_SUB5">#REF!</definedName>
    <definedName name="_SUB6" localSheetId="4">#REF!</definedName>
    <definedName name="_SUB6">#REF!</definedName>
    <definedName name="_SUB8" localSheetId="4">#REF!</definedName>
    <definedName name="_SUB8">#REF!</definedName>
    <definedName name="_SW1" localSheetId="4">#REF!</definedName>
    <definedName name="_SW1">#REF!</definedName>
    <definedName name="_SW2" localSheetId="4">#REF!</definedName>
    <definedName name="_SW2">#REF!</definedName>
    <definedName name="_TRY2">#REF!</definedName>
    <definedName name="_try3">#REF!</definedName>
    <definedName name="_try4">#REF!</definedName>
    <definedName name="_TRY6">#REF!</definedName>
    <definedName name="_try8">#REF!</definedName>
    <definedName name="AADTGrowth">[3]Assumptions!$C$3</definedName>
    <definedName name="ABBREV_DATE" localSheetId="4">#REF!</definedName>
    <definedName name="ABBREV_DATE">#REF!</definedName>
    <definedName name="abc">#REF!</definedName>
    <definedName name="adb">#REF!</definedName>
    <definedName name="Adds" localSheetId="4">#REF!</definedName>
    <definedName name="Adds">#REF!</definedName>
    <definedName name="AFD">#REF!</definedName>
    <definedName name="AnsCoEstFacSz" localSheetId="4">[4]Inputs!#REF!</definedName>
    <definedName name="AnsCoEstFacSz">[4]Inputs!#REF!</definedName>
    <definedName name="asp">#REF!</definedName>
    <definedName name="ASSIGN" localSheetId="4">#REF!</definedName>
    <definedName name="ASSIGN">#REF!</definedName>
    <definedName name="B_4" localSheetId="4">#REF!</definedName>
    <definedName name="B_4">#REF!</definedName>
    <definedName name="B_5" localSheetId="4">#REF!</definedName>
    <definedName name="B_5">#REF!</definedName>
    <definedName name="BEGINNING" localSheetId="4">#REF!</definedName>
    <definedName name="BEGINNING">#REF!</definedName>
    <definedName name="BEx3O85IKWARA6NCJOLRBRJFMEWW" localSheetId="4" hidden="1">'[5]Q2 09 Rail BS Leads'!#REF!</definedName>
    <definedName name="BEx3O85IKWARA6NCJOLRBRJFMEWW" hidden="1">'[5]Q2 09 Rail BS Leads'!#REF!</definedName>
    <definedName name="BEx5MLQZM68YQSKARVWTTPINFQ2C" localSheetId="4" hidden="1">'[5]Q2 09 Rail BS Leads'!#REF!</definedName>
    <definedName name="BEx5MLQZM68YQSKARVWTTPINFQ2C" hidden="1">'[5]Q2 09 Rail BS Leads'!#REF!</definedName>
    <definedName name="BExERWCEBKQRYWRQLYJ4UCMMKTHG" localSheetId="4" hidden="1">'[5]Q2 09 Rail BS Leads'!#REF!</definedName>
    <definedName name="BExERWCEBKQRYWRQLYJ4UCMMKTHG" hidden="1">'[5]Q2 09 Rail BS Leads'!#REF!</definedName>
    <definedName name="BExMBYPQDG9AYDQ5E8IECVFREPO6" localSheetId="4" hidden="1">'[5]Q2 09 Rail BS Leads'!#REF!</definedName>
    <definedName name="BExMBYPQDG9AYDQ5E8IECVFREPO6" hidden="1">'[5]Q2 09 Rail BS Leads'!#REF!</definedName>
    <definedName name="BExQ9ZLYHWABXAA9NJDW8ZS0UQ9P" localSheetId="4" hidden="1">'[5]Q2 09 Rail BS Leads'!#REF!</definedName>
    <definedName name="BExQ9ZLYHWABXAA9NJDW8ZS0UQ9P" hidden="1">'[5]Q2 09 Rail BS Leads'!#REF!</definedName>
    <definedName name="BExTUY9WNSJ91GV8CP0SKJTEIV82" localSheetId="4" hidden="1">'[5]Q2 09 Rail BS Leads'!#REF!</definedName>
    <definedName name="BExTUY9WNSJ91GV8CP0SKJTEIV82" hidden="1">'[5]Q2 09 Rail BS Leads'!#REF!</definedName>
    <definedName name="bob" localSheetId="4">#REF!</definedName>
    <definedName name="bob">#REF!</definedName>
    <definedName name="BS_98" localSheetId="4">#REF!</definedName>
    <definedName name="BS_98">#REF!</definedName>
    <definedName name="BS_99" localSheetId="4">#REF!</definedName>
    <definedName name="BS_99">#REF!</definedName>
    <definedName name="BS_SUM_25MO" localSheetId="4">#REF!</definedName>
    <definedName name="BS_SUM_25MO">#REF!</definedName>
    <definedName name="BS_SUM_98" localSheetId="4">#REF!</definedName>
    <definedName name="BS_SUM_98">#REF!</definedName>
    <definedName name="BS_SUM_99" localSheetId="4">#REF!</definedName>
    <definedName name="BS_SUM_99">#REF!</definedName>
    <definedName name="CBS" localSheetId="4">#REF!</definedName>
    <definedName name="CBS">#REF!</definedName>
    <definedName name="COLE" localSheetId="4">#REF!</definedName>
    <definedName name="COLE">#REF!</definedName>
    <definedName name="COMBO_EW">#REF!</definedName>
    <definedName name="CRAP">#REF!</definedName>
    <definedName name="crap2">#REF!</definedName>
    <definedName name="_xlnm.Criteria" localSheetId="4">#REF!</definedName>
    <definedName name="_xlnm.Criteria">#REF!</definedName>
    <definedName name="CURRENT_DATE" localSheetId="4">#REF!</definedName>
    <definedName name="CURRENT_DATE">#REF!</definedName>
    <definedName name="Current_Fiscal_Year">[6]Inputs!$C$5</definedName>
    <definedName name="DATA" localSheetId="4">#REF!</definedName>
    <definedName name="DATA">#REF!</definedName>
    <definedName name="_xlnm.Database" localSheetId="4">#REF!</definedName>
    <definedName name="_xlnm.Database">#REF!</definedName>
    <definedName name="DecComICC" localSheetId="4">#REF!</definedName>
    <definedName name="DecComICC">#REF!</definedName>
    <definedName name="DecComInstall" localSheetId="4">#REF!</definedName>
    <definedName name="DecComInstall">#REF!</definedName>
    <definedName name="Detail" localSheetId="4">#REF!</definedName>
    <definedName name="Detail">#REF!</definedName>
    <definedName name="DISC_RATE">[3]Assumptions!$C$5</definedName>
    <definedName name="ee">#REF!</definedName>
    <definedName name="ENDING" localSheetId="4">#REF!</definedName>
    <definedName name="ENDING">#REF!</definedName>
    <definedName name="EPR" localSheetId="4">#REF!</definedName>
    <definedName name="EPR">#REF!</definedName>
    <definedName name="_xlnm.Extract" localSheetId="4">#REF!</definedName>
    <definedName name="_xlnm.Extract">#REF!</definedName>
    <definedName name="formula" localSheetId="4">#REF!</definedName>
    <definedName name="formula">#REF!</definedName>
    <definedName name="furbase" localSheetId="4">#REF!</definedName>
    <definedName name="furbase">#REF!</definedName>
    <definedName name="FURN" localSheetId="4">#REF!</definedName>
    <definedName name="FURN">#REF!</definedName>
    <definedName name="furnish" localSheetId="4">#REF!</definedName>
    <definedName name="furnish">#REF!</definedName>
    <definedName name="furnmat" localSheetId="4">#REF!</definedName>
    <definedName name="furnmat">#REF!</definedName>
    <definedName name="GENERAL" localSheetId="4">#REF!</definedName>
    <definedName name="GENERAL">#REF!</definedName>
    <definedName name="GG">#REF!</definedName>
    <definedName name="GGG">#REF!</definedName>
    <definedName name="ICCConv">'[7]ICC Conversion'!$A$1:$B$191</definedName>
    <definedName name="IMPORT" localSheetId="4">#REF!</definedName>
    <definedName name="IMPORT">#REF!</definedName>
    <definedName name="Inflation_Percentages">[6]Inputs!$C$32:$C$81</definedName>
    <definedName name="Inflation_Years">[6]Inputs!$B$32:$B$81</definedName>
    <definedName name="infor" localSheetId="4">#REF!</definedName>
    <definedName name="infor">#REF!</definedName>
    <definedName name="item" localSheetId="4">#REF!</definedName>
    <definedName name="item">#REF!</definedName>
    <definedName name="k7." localSheetId="4">#REF!</definedName>
    <definedName name="k7.">#REF!</definedName>
    <definedName name="kjh">#REF!</definedName>
    <definedName name="LEADS" localSheetId="4">#REF!</definedName>
    <definedName name="LEADS">#REF!</definedName>
    <definedName name="LEADS_25MO" localSheetId="4">#REF!</definedName>
    <definedName name="LEADS_25MO">#REF!</definedName>
    <definedName name="LEADS_98" localSheetId="4">#REF!</definedName>
    <definedName name="LEADS_98">#REF!</definedName>
    <definedName name="LEADS_99" localSheetId="4">#REF!</definedName>
    <definedName name="LEADS_99">#REF!</definedName>
    <definedName name="LOLD">1</definedName>
    <definedName name="LOLD_Table">7</definedName>
    <definedName name="mike" localSheetId="4">#REF!</definedName>
    <definedName name="mike">#REF!</definedName>
    <definedName name="mobil1" localSheetId="4">#REF!</definedName>
    <definedName name="mobil1">#REF!</definedName>
    <definedName name="NC_Counties">[8]County!$A$3:$A$102</definedName>
    <definedName name="NEXT" localSheetId="4">#REF!</definedName>
    <definedName name="NEXT">#REF!</definedName>
    <definedName name="Normal" localSheetId="4">#REF!</definedName>
    <definedName name="Normal">#REF!</definedName>
    <definedName name="number" localSheetId="4">#REF!</definedName>
    <definedName name="number">#REF!</definedName>
    <definedName name="OPER1" localSheetId="4">#REF!</definedName>
    <definedName name="OPER1">#REF!</definedName>
    <definedName name="OPER2" localSheetId="4">#REF!</definedName>
    <definedName name="OPER2">#REF!</definedName>
    <definedName name="PAGE_33" localSheetId="4">#REF!</definedName>
    <definedName name="PAGE_33">#REF!</definedName>
    <definedName name="PAGE1" localSheetId="4">#REF!</definedName>
    <definedName name="PAGE1">#REF!</definedName>
    <definedName name="PAGE2" localSheetId="4">#REF!</definedName>
    <definedName name="PAGE2">#REF!</definedName>
    <definedName name="PAGE32" localSheetId="4">#REF!</definedName>
    <definedName name="PAGE32">#REF!</definedName>
    <definedName name="PAGE37" localSheetId="4">#REF!</definedName>
    <definedName name="PAGE37">#REF!</definedName>
    <definedName name="PART_B" localSheetId="4">#REF!</definedName>
    <definedName name="PART_B">#REF!</definedName>
    <definedName name="PARTA" localSheetId="4">#REF!</definedName>
    <definedName name="PARTA">#REF!</definedName>
    <definedName name="PAY_LIST">#REF!</definedName>
    <definedName name="PISNU" localSheetId="4">#REF!</definedName>
    <definedName name="PISNU">#REF!</definedName>
    <definedName name="PMPeakDirection">'[9]Quadrant (AM_PM)'!$N$78:$N$79</definedName>
    <definedName name="ppp" localSheetId="4">#REF!</definedName>
    <definedName name="ppp">#REF!</definedName>
    <definedName name="price" localSheetId="4">#REF!</definedName>
    <definedName name="price">#REF!</definedName>
    <definedName name="PRINT_ALL" localSheetId="4">#REF!</definedName>
    <definedName name="PRINT_ALL">#REF!</definedName>
    <definedName name="_xlnm.Print_Area">#REF!</definedName>
    <definedName name="PRINT_AREA_MI" localSheetId="4">#REF!</definedName>
    <definedName name="PRINT_AREA_MI">#REF!</definedName>
    <definedName name="PRINT_CF_9899" localSheetId="4">#REF!</definedName>
    <definedName name="PRINT_CF_9899">#REF!</definedName>
    <definedName name="PRINT_DIFF" localSheetId="4">#REF!</definedName>
    <definedName name="PRINT_DIFF">#REF!</definedName>
    <definedName name="_xlnm.Print_Titles">#N/A</definedName>
    <definedName name="Print_Titles_MI">'[10]PA Run Off'!$A$1:$IV$10,'[10]PA Run Off'!$A$1:$A$16384</definedName>
    <definedName name="PRT_12_PAGE_25M" localSheetId="4">#REF!</definedName>
    <definedName name="PRT_12_PAGE_25M">#REF!</definedName>
    <definedName name="PRT_98_WCRECON" localSheetId="4">#REF!</definedName>
    <definedName name="PRT_98_WCRECON">#REF!</definedName>
    <definedName name="PRT_99_WCRECON" localSheetId="4">#REF!</definedName>
    <definedName name="PRT_99_WCRECON">#REF!</definedName>
    <definedName name="PRT_BS_98" localSheetId="4">#REF!</definedName>
    <definedName name="PRT_BS_98">#REF!</definedName>
    <definedName name="PRT_BS_99" localSheetId="4">#REF!</definedName>
    <definedName name="PRT_BS_99">#REF!</definedName>
    <definedName name="PRT_BS_SUM_25MO" localSheetId="4">#REF!</definedName>
    <definedName name="PRT_BS_SUM_25MO">#REF!</definedName>
    <definedName name="PRT_BSSUM_98" localSheetId="4">#REF!</definedName>
    <definedName name="PRT_BSSUM_98">#REF!</definedName>
    <definedName name="PRT_BSSUM_99" localSheetId="4">#REF!</definedName>
    <definedName name="PRT_BSSUM_99">#REF!</definedName>
    <definedName name="PRT_CF_1998" localSheetId="4">#REF!</definedName>
    <definedName name="PRT_CF_1998">#REF!</definedName>
    <definedName name="PRT_CF_1999" localSheetId="4">#REF!</definedName>
    <definedName name="PRT_CF_1999">#REF!</definedName>
    <definedName name="PRT_CURR_MO" localSheetId="4">#REF!</definedName>
    <definedName name="PRT_CURR_MO">#REF!</definedName>
    <definedName name="PRT_LEAD_25MO" localSheetId="4">#REF!</definedName>
    <definedName name="PRT_LEAD_25MO">#REF!</definedName>
    <definedName name="PRT_LEAD_ACT_98" localSheetId="4">#REF!</definedName>
    <definedName name="PRT_LEAD_ACT_98">#REF!</definedName>
    <definedName name="PRT_LEAD_PLN_99" localSheetId="4">#REF!</definedName>
    <definedName name="PRT_LEAD_PLN_99">#REF!</definedName>
    <definedName name="PRT_NCA_98" localSheetId="4">#REF!</definedName>
    <definedName name="PRT_NCA_98">#REF!</definedName>
    <definedName name="PRT_NCA_99" localSheetId="4">#REF!</definedName>
    <definedName name="PRT_NCA_99">#REF!</definedName>
    <definedName name="PRT_QUARTER" localSheetId="4">#REF!</definedName>
    <definedName name="PRT_QUARTER">#REF!</definedName>
    <definedName name="Q1_VS_PLAN" localSheetId="4">#REF!</definedName>
    <definedName name="Q1_VS_PLAN">#REF!</definedName>
    <definedName name="Q2_VS_PLAN" localSheetId="4">#REF!</definedName>
    <definedName name="Q2_VS_PLAN">#REF!</definedName>
    <definedName name="Q3_VS_PLAN" localSheetId="4">#REF!</definedName>
    <definedName name="Q3_VS_PLAN">#REF!</definedName>
    <definedName name="Q4_VS_PLAN" localSheetId="4">#REF!</definedName>
    <definedName name="Q4_VS_PLAN">#REF!</definedName>
    <definedName name="qty" localSheetId="4">#REF!</definedName>
    <definedName name="qty">#REF!</definedName>
    <definedName name="Rate">[11]LocoRate!$L$2:$P$4</definedName>
    <definedName name="Rates">'[12]Rate file'!$A$6:$F$1250</definedName>
    <definedName name="RETIREMENTS" localSheetId="4">#REF!</definedName>
    <definedName name="RETIREMENTS">#REF!</definedName>
    <definedName name="Retires" localSheetId="4">#REF!</definedName>
    <definedName name="Retir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TRUE</definedName>
    <definedName name="RiskMonitorConvergence" hidden="1">TRUE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OSNU" localSheetId="4">#REF!</definedName>
    <definedName name="ROSNU">#REF!</definedName>
    <definedName name="rr">#REF!</definedName>
    <definedName name="rrr">#REF!</definedName>
    <definedName name="SAPBEXhrIndnt" hidden="1">"Wide"</definedName>
    <definedName name="SAPsysID" hidden="1">"708C5W7SBKP804JT78WJ0JNKI"</definedName>
    <definedName name="SAPwbID" hidden="1">"ARS"</definedName>
    <definedName name="SB_5_B_" localSheetId="4">#REF!</definedName>
    <definedName name="SB_5_B_">#REF!</definedName>
    <definedName name="SEC_12R1" localSheetId="4">#REF!</definedName>
    <definedName name="SEC_12R1">#REF!</definedName>
    <definedName name="SEC_12R2" localSheetId="4">#REF!</definedName>
    <definedName name="SEC_12R2">#REF!</definedName>
    <definedName name="SEC_12S" localSheetId="4">#REF!</definedName>
    <definedName name="SEC_12S">#REF!</definedName>
    <definedName name="SEC_13T1" localSheetId="4">#REF!</definedName>
    <definedName name="SEC_13T1">#REF!</definedName>
    <definedName name="SEC_13T2" localSheetId="4">#REF!</definedName>
    <definedName name="SEC_13T2">#REF!</definedName>
    <definedName name="SEC_13T2D" localSheetId="4">#REF!</definedName>
    <definedName name="SEC_13T2D">#REF!</definedName>
    <definedName name="SEC_5E" localSheetId="4">#REF!</definedName>
    <definedName name="SEC_5E">#REF!</definedName>
    <definedName name="SEC_5F" localSheetId="4">#REF!</definedName>
    <definedName name="SEC_5F">#REF!</definedName>
    <definedName name="SEC_5G" localSheetId="4">#REF!</definedName>
    <definedName name="SEC_5G">#REF!</definedName>
    <definedName name="SEC_6H" localSheetId="4">#REF!</definedName>
    <definedName name="SEC_6H">#REF!</definedName>
    <definedName name="SEC_6H7" localSheetId="4">#REF!</definedName>
    <definedName name="SEC_6H7">#REF!</definedName>
    <definedName name="SEC_7I1" localSheetId="4">#REF!</definedName>
    <definedName name="SEC_7I1">#REF!</definedName>
    <definedName name="SEC_7I2" localSheetId="4">#REF!</definedName>
    <definedName name="SEC_7I2">#REF!</definedName>
    <definedName name="SEC_7I3" localSheetId="4">#REF!</definedName>
    <definedName name="SEC_7I3">#REF!</definedName>
    <definedName name="SEC_7I4" localSheetId="4">#REF!</definedName>
    <definedName name="SEC_7I4">#REF!</definedName>
    <definedName name="SEC_7I5" localSheetId="4">#REF!</definedName>
    <definedName name="SEC_7I5">#REF!</definedName>
    <definedName name="SEC_7I6" localSheetId="4">#REF!</definedName>
    <definedName name="SEC_7I6">#REF!</definedName>
    <definedName name="SEC_7I7" localSheetId="4">#REF!</definedName>
    <definedName name="SEC_7I7">#REF!</definedName>
    <definedName name="SEC_7I8" localSheetId="4">#REF!</definedName>
    <definedName name="SEC_7I8">#REF!</definedName>
    <definedName name="SEC_8J1" localSheetId="4">#REF!</definedName>
    <definedName name="SEC_8J1">#REF!</definedName>
    <definedName name="SEC_8J2" localSheetId="4">#REF!</definedName>
    <definedName name="SEC_8J2">#REF!</definedName>
    <definedName name="SEC_8K" localSheetId="4">#REF!</definedName>
    <definedName name="SEC_8K">#REF!</definedName>
    <definedName name="SEC_8L" localSheetId="4">#REF!</definedName>
    <definedName name="SEC_8L">#REF!</definedName>
    <definedName name="select" localSheetId="4">#REF!</definedName>
    <definedName name="select">#REF!</definedName>
    <definedName name="Sheet">#REF!</definedName>
    <definedName name="SHEET_CHOICE" localSheetId="4">#REF!</definedName>
    <definedName name="SHEET_CHOICE">#REF!</definedName>
    <definedName name="SHEET1" localSheetId="4">#REF!</definedName>
    <definedName name="SHEET1">#REF!</definedName>
    <definedName name="SHEET2" localSheetId="4">#REF!</definedName>
    <definedName name="SHEET2">#REF!</definedName>
    <definedName name="SHEET3" localSheetId="4">#REF!</definedName>
    <definedName name="SHEET3">#REF!</definedName>
    <definedName name="SHEET4" localSheetId="4">#REF!</definedName>
    <definedName name="SHEET4">#REF!</definedName>
    <definedName name="SHEET5A" localSheetId="4">#REF!</definedName>
    <definedName name="SHEET5A">#REF!</definedName>
    <definedName name="SHEET5B" localSheetId="4">#REF!</definedName>
    <definedName name="SHEET5B">#REF!</definedName>
    <definedName name="SHEET5C" localSheetId="4">#REF!</definedName>
    <definedName name="SHEET5C">#REF!</definedName>
    <definedName name="SHEET5D" localSheetId="4">#REF!</definedName>
    <definedName name="SHEET5D">#REF!</definedName>
    <definedName name="SHEET6" localSheetId="4">#REF!</definedName>
    <definedName name="SHEET6">#REF!</definedName>
    <definedName name="Spanner_Auto_File">"T:\139407\NDM\ROR\DRAWING\des_road.x2a"</definedName>
    <definedName name="Spanner_Auto_Select">#REF!</definedName>
    <definedName name="SSS">#REF!</definedName>
    <definedName name="Starting_Fiscal_Year">[6]Inputs!$C$6</definedName>
    <definedName name="sub">#REF!</definedName>
    <definedName name="SUB7L" localSheetId="4">#REF!</definedName>
    <definedName name="SUB7L">#REF!</definedName>
    <definedName name="supp" localSheetId="4">#REF!</definedName>
    <definedName name="supp">#REF!</definedName>
    <definedName name="suppbase" localSheetId="4">#REF!</definedName>
    <definedName name="suppbase">#REF!</definedName>
    <definedName name="SUPPL" localSheetId="4">#REF!</definedName>
    <definedName name="SUPPL">#REF!</definedName>
    <definedName name="supplem" localSheetId="4">#REF!</definedName>
    <definedName name="supplem">#REF!</definedName>
    <definedName name="T">#REF!</definedName>
    <definedName name="TITLE" localSheetId="4">#REF!</definedName>
    <definedName name="TITLE">#REF!</definedName>
    <definedName name="TOTAL" localSheetId="4">#REF!</definedName>
    <definedName name="TOTAL">#REF!</definedName>
    <definedName name="TRY">#REF!</definedName>
    <definedName name="ttt">#REF!</definedName>
    <definedName name="ttu">#REF!</definedName>
    <definedName name="tty">#REF!</definedName>
    <definedName name="Typ" localSheetId="4">#REF!</definedName>
    <definedName name="Typ">#REF!</definedName>
    <definedName name="Type" localSheetId="4">#REF!</definedName>
    <definedName name="Type">#REF!</definedName>
    <definedName name="UPDATE" localSheetId="4">#REF!</definedName>
    <definedName name="UPDATE">#REF!</definedName>
    <definedName name="VEH_OCC">[3]Assumptions!$C$6</definedName>
    <definedName name="Version" localSheetId="4">#REF!</definedName>
    <definedName name="Version">#REF!</definedName>
    <definedName name="XXX">#REF!</definedName>
    <definedName name="xxx1" localSheetId="4">#REF!</definedName>
    <definedName name="xxx1">#REF!</definedName>
    <definedName name="YTD" localSheetId="4">#REF!</definedName>
    <definedName name="YTD">#REF!</definedName>
    <definedName name="zzz1" localSheetId="4">#REF!</definedName>
    <definedName name="zzz1">#REF!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3" l="1"/>
  <c r="E13" i="56"/>
  <c r="D13" i="56"/>
  <c r="C13" i="56"/>
  <c r="D23" i="43" l="1"/>
  <c r="C23" i="43"/>
  <c r="C10" i="21"/>
  <c r="G5" i="38" s="1"/>
  <c r="B10" i="43"/>
  <c r="D17" i="1"/>
  <c r="C16" i="37" s="1"/>
  <c r="E24" i="20"/>
  <c r="C24" i="20"/>
  <c r="E26" i="22"/>
  <c r="C26" i="22"/>
  <c r="C18" i="13" l="1"/>
  <c r="E18" i="13"/>
  <c r="F18" i="13" s="1"/>
  <c r="D36" i="37"/>
  <c r="D17" i="37"/>
  <c r="D18" i="37"/>
  <c r="D19" i="37"/>
  <c r="D20" i="37"/>
  <c r="D21" i="37"/>
  <c r="D22" i="37"/>
  <c r="D23" i="37"/>
  <c r="D24" i="37"/>
  <c r="D25" i="37"/>
  <c r="D26" i="37"/>
  <c r="D27" i="37"/>
  <c r="D28" i="37"/>
  <c r="D29" i="37"/>
  <c r="D30" i="37"/>
  <c r="D31" i="37"/>
  <c r="D32" i="37"/>
  <c r="D33" i="37"/>
  <c r="D34" i="37"/>
  <c r="D35" i="37"/>
  <c r="D16" i="37"/>
  <c r="E21" i="31"/>
  <c r="F21" i="31" s="1"/>
  <c r="B38" i="39"/>
  <c r="B38" i="3"/>
  <c r="B10" i="47" s="1"/>
  <c r="B37" i="3"/>
  <c r="B11" i="47"/>
  <c r="B13" i="47"/>
  <c r="J4" i="20"/>
  <c r="J10" i="20"/>
  <c r="I24" i="20" s="1"/>
  <c r="G26" i="22"/>
  <c r="F26" i="22"/>
  <c r="D26" i="22"/>
  <c r="C6" i="22"/>
  <c r="H22" i="41"/>
  <c r="E21" i="38"/>
  <c r="AB8" i="55"/>
  <c r="B13" i="43"/>
  <c r="C49" i="43" s="1"/>
  <c r="D49" i="43" s="1"/>
  <c r="B17" i="43"/>
  <c r="B17" i="3"/>
  <c r="D33" i="29"/>
  <c r="E33" i="29" s="1"/>
  <c r="C34" i="29"/>
  <c r="B5" i="29"/>
  <c r="C33" i="29"/>
  <c r="B3" i="29"/>
  <c r="C16" i="41"/>
  <c r="A24" i="20"/>
  <c r="H24" i="20"/>
  <c r="B44" i="20"/>
  <c r="A44" i="20" s="1"/>
  <c r="B69" i="43"/>
  <c r="A69" i="43" s="1"/>
  <c r="C34" i="22"/>
  <c r="D34" i="22" s="1"/>
  <c r="C35" i="22"/>
  <c r="E34" i="22"/>
  <c r="B34" i="22"/>
  <c r="B60" i="37"/>
  <c r="H60" i="37"/>
  <c r="K60" i="37"/>
  <c r="N60" i="37"/>
  <c r="B36" i="37"/>
  <c r="I36" i="37" s="1"/>
  <c r="A65" i="39"/>
  <c r="B38" i="44"/>
  <c r="B39" i="42"/>
  <c r="A39" i="42" s="1"/>
  <c r="B37" i="47"/>
  <c r="A37" i="47" s="1"/>
  <c r="B39" i="49"/>
  <c r="A39" i="49" s="1"/>
  <c r="B41" i="31"/>
  <c r="A41" i="31" s="1"/>
  <c r="N37" i="1"/>
  <c r="H37" i="1"/>
  <c r="A37" i="1"/>
  <c r="B37" i="1"/>
  <c r="D21" i="36"/>
  <c r="I21" i="31" l="1"/>
  <c r="F34" i="22"/>
  <c r="G34" i="22"/>
  <c r="A34" i="22"/>
  <c r="L36" i="37"/>
  <c r="C24" i="43" l="1"/>
  <c r="C25" i="43" s="1"/>
  <c r="C26" i="43" s="1"/>
  <c r="C27" i="43" s="1"/>
  <c r="C28" i="43" s="1"/>
  <c r="C29" i="43" s="1"/>
  <c r="C30" i="43" s="1"/>
  <c r="C31" i="43" s="1"/>
  <c r="C32" i="43" s="1"/>
  <c r="C33" i="43" s="1"/>
  <c r="C34" i="43" s="1"/>
  <c r="C35" i="43" s="1"/>
  <c r="C36" i="43" s="1"/>
  <c r="C37" i="43" s="1"/>
  <c r="C38" i="43" s="1"/>
  <c r="C39" i="43" s="1"/>
  <c r="C40" i="43" s="1"/>
  <c r="C41" i="43" s="1"/>
  <c r="C42" i="43" s="1"/>
  <c r="C43" i="43" s="1"/>
  <c r="H34" i="22"/>
  <c r="D41" i="36" l="1"/>
  <c r="E28" i="41"/>
  <c r="J5" i="20" l="1"/>
  <c r="E21" i="36"/>
  <c r="C4" i="21"/>
  <c r="E41" i="36"/>
  <c r="A40" i="36"/>
  <c r="C40" i="36"/>
  <c r="D40" i="36"/>
  <c r="E40" i="36" s="1"/>
  <c r="A41" i="36"/>
  <c r="C41" i="36"/>
  <c r="C19" i="13"/>
  <c r="C12" i="12"/>
  <c r="C11" i="12"/>
  <c r="N6" i="41"/>
  <c r="E25" i="41" s="1"/>
  <c r="F8" i="41"/>
  <c r="H8" i="41"/>
  <c r="G8" i="41"/>
  <c r="B8" i="41"/>
  <c r="F41" i="41"/>
  <c r="D16" i="41"/>
  <c r="E16" i="41"/>
  <c r="F16" i="41"/>
  <c r="B15" i="41"/>
  <c r="G15" i="41" s="1"/>
  <c r="H15" i="41" s="1"/>
  <c r="B14" i="41"/>
  <c r="G14" i="41" s="1"/>
  <c r="H14" i="41" s="1"/>
  <c r="B13" i="41"/>
  <c r="G13" i="41" s="1"/>
  <c r="H13" i="41" s="1"/>
  <c r="B12" i="41"/>
  <c r="E11" i="41"/>
  <c r="C11" i="41"/>
  <c r="D11" i="41"/>
  <c r="B11" i="41"/>
  <c r="E38" i="41"/>
  <c r="E41" i="41" s="1"/>
  <c r="D38" i="41"/>
  <c r="D41" i="41" s="1"/>
  <c r="C38" i="41"/>
  <c r="C42" i="41" s="1"/>
  <c r="B38" i="41"/>
  <c r="B42" i="41" s="1"/>
  <c r="F42" i="41"/>
  <c r="G36" i="41"/>
  <c r="E11" i="38"/>
  <c r="E10" i="38"/>
  <c r="E9" i="38"/>
  <c r="E12" i="38"/>
  <c r="A11" i="12"/>
  <c r="A12" i="12"/>
  <c r="B19" i="3"/>
  <c r="D11" i="12" l="1"/>
  <c r="E26" i="41"/>
  <c r="E27" i="41"/>
  <c r="G28" i="41"/>
  <c r="H28" i="41" s="1"/>
  <c r="B41" i="41"/>
  <c r="C41" i="41"/>
  <c r="D42" i="41"/>
  <c r="B16" i="41"/>
  <c r="G38" i="41"/>
  <c r="G42" i="41" s="1"/>
  <c r="D39" i="41" s="1"/>
  <c r="G12" i="41"/>
  <c r="H12" i="41" s="1"/>
  <c r="H16" i="41" s="1"/>
  <c r="E42" i="41"/>
  <c r="B11" i="39"/>
  <c r="B15" i="39"/>
  <c r="H5" i="20"/>
  <c r="H101" i="35"/>
  <c r="H102" i="35"/>
  <c r="H103" i="35"/>
  <c r="H104" i="35"/>
  <c r="G102" i="35"/>
  <c r="G103" i="35"/>
  <c r="G104" i="35"/>
  <c r="G105" i="35"/>
  <c r="H105" i="35"/>
  <c r="G106" i="35"/>
  <c r="H106" i="35"/>
  <c r="G107" i="35"/>
  <c r="H107" i="35"/>
  <c r="G108" i="35"/>
  <c r="H108" i="35"/>
  <c r="G109" i="35"/>
  <c r="H109" i="35"/>
  <c r="G110" i="35"/>
  <c r="H110" i="35"/>
  <c r="G111" i="35"/>
  <c r="H111" i="35"/>
  <c r="G112" i="35"/>
  <c r="H112" i="35"/>
  <c r="G113" i="35"/>
  <c r="H113" i="35"/>
  <c r="G114" i="35"/>
  <c r="H114" i="35"/>
  <c r="G115" i="35"/>
  <c r="H115" i="35"/>
  <c r="G116" i="35"/>
  <c r="H116" i="35"/>
  <c r="G117" i="35"/>
  <c r="H117" i="35"/>
  <c r="G118" i="35"/>
  <c r="H118" i="35"/>
  <c r="G119" i="35"/>
  <c r="H119" i="35"/>
  <c r="G120" i="35"/>
  <c r="H120" i="35"/>
  <c r="G101" i="35"/>
  <c r="F102" i="35"/>
  <c r="F103" i="35"/>
  <c r="F104" i="35"/>
  <c r="F105" i="35"/>
  <c r="F106" i="35"/>
  <c r="F107" i="35"/>
  <c r="F108" i="35"/>
  <c r="F109" i="35"/>
  <c r="F110" i="35"/>
  <c r="F111" i="35"/>
  <c r="F112" i="35"/>
  <c r="F113" i="35"/>
  <c r="F114" i="35"/>
  <c r="F115" i="35"/>
  <c r="F116" i="35"/>
  <c r="F117" i="35"/>
  <c r="F118" i="35"/>
  <c r="F119" i="35"/>
  <c r="F120" i="35"/>
  <c r="F101" i="35"/>
  <c r="E94" i="35"/>
  <c r="E95" i="35" s="1"/>
  <c r="E96" i="35" s="1"/>
  <c r="E97" i="35" s="1"/>
  <c r="E98" i="35" s="1"/>
  <c r="E99" i="35" s="1"/>
  <c r="E100" i="35" s="1"/>
  <c r="E101" i="35" s="1"/>
  <c r="E102" i="35" s="1"/>
  <c r="E103" i="35" s="1"/>
  <c r="E104" i="35" s="1"/>
  <c r="E105" i="35" s="1"/>
  <c r="E106" i="35" s="1"/>
  <c r="E107" i="35" s="1"/>
  <c r="E108" i="35" s="1"/>
  <c r="E109" i="35" s="1"/>
  <c r="E110" i="35" s="1"/>
  <c r="E111" i="35" s="1"/>
  <c r="E112" i="35" s="1"/>
  <c r="E113" i="35" s="1"/>
  <c r="E114" i="35" s="1"/>
  <c r="E115" i="35" s="1"/>
  <c r="E116" i="35" s="1"/>
  <c r="E117" i="35" s="1"/>
  <c r="E118" i="35" s="1"/>
  <c r="E119" i="35" s="1"/>
  <c r="E120" i="35" s="1"/>
  <c r="E93" i="35"/>
  <c r="B15" i="43"/>
  <c r="S605" i="48"/>
  <c r="S602" i="48"/>
  <c r="R602" i="48"/>
  <c r="Q602" i="48"/>
  <c r="I15" i="41" l="1"/>
  <c r="G39" i="41"/>
  <c r="C39" i="41"/>
  <c r="E39" i="41"/>
  <c r="E37" i="41"/>
  <c r="B39" i="41"/>
  <c r="F37" i="41"/>
  <c r="G16" i="41"/>
  <c r="G41" i="41"/>
  <c r="W5" i="55"/>
  <c r="V5" i="55"/>
  <c r="D9" i="55"/>
  <c r="F29" i="55"/>
  <c r="I21" i="41" l="1"/>
  <c r="I20" i="41"/>
  <c r="B8" i="37"/>
  <c r="E17" i="39"/>
  <c r="B20" i="39" s="1"/>
  <c r="B21" i="39" s="1"/>
  <c r="E7" i="44"/>
  <c r="D7" i="44"/>
  <c r="B13" i="42"/>
  <c r="B14" i="42"/>
  <c r="B12" i="42"/>
  <c r="A11" i="47"/>
  <c r="J34" i="54"/>
  <c r="B24" i="3" s="1"/>
  <c r="C7" i="49" s="1"/>
  <c r="F32" i="54"/>
  <c r="F31" i="54"/>
  <c r="F30" i="54"/>
  <c r="C31" i="54"/>
  <c r="C26" i="54"/>
  <c r="E25" i="54"/>
  <c r="B8" i="31"/>
  <c r="S604" i="48"/>
  <c r="Q601" i="48"/>
  <c r="B7" i="31"/>
  <c r="B9" i="37"/>
  <c r="B10" i="37"/>
  <c r="B11" i="37"/>
  <c r="A11" i="37"/>
  <c r="A10" i="37"/>
  <c r="A9" i="37"/>
  <c r="C3" i="22"/>
  <c r="C14" i="22" s="1"/>
  <c r="C4" i="22"/>
  <c r="E14" i="22" s="1"/>
  <c r="L3" i="22"/>
  <c r="L4" i="22"/>
  <c r="L5" i="22"/>
  <c r="L6" i="22"/>
  <c r="C3" i="12"/>
  <c r="C4" i="12"/>
  <c r="B16" i="43"/>
  <c r="D30" i="54"/>
  <c r="E30" i="54"/>
  <c r="D31" i="54"/>
  <c r="D32" i="54"/>
  <c r="D33" i="54"/>
  <c r="F33" i="54"/>
  <c r="A13" i="12"/>
  <c r="B6" i="36"/>
  <c r="E16" i="39"/>
  <c r="I34" i="54"/>
  <c r="E35" i="22" l="1"/>
  <c r="C31" i="22"/>
  <c r="C11" i="22"/>
  <c r="C13" i="36"/>
  <c r="D13" i="36" s="1"/>
  <c r="Q5" i="42" l="1"/>
  <c r="F4" i="42" s="1"/>
  <c r="F6" i="42" s="1"/>
  <c r="C9" i="42" s="1"/>
  <c r="C10" i="42" s="1"/>
  <c r="X5" i="55"/>
  <c r="Z5" i="55" s="1"/>
  <c r="X6" i="55"/>
  <c r="X7" i="55"/>
  <c r="Z7" i="55" s="1"/>
  <c r="X4" i="55"/>
  <c r="Z4" i="55" s="1"/>
  <c r="W7" i="55"/>
  <c r="V7" i="55"/>
  <c r="W6" i="55"/>
  <c r="V6" i="55"/>
  <c r="V4" i="55"/>
  <c r="W4" i="55"/>
  <c r="D4" i="55"/>
  <c r="D5" i="55"/>
  <c r="D6" i="55"/>
  <c r="D7" i="55"/>
  <c r="D8" i="55"/>
  <c r="D10" i="55"/>
  <c r="D11" i="55"/>
  <c r="D12" i="55"/>
  <c r="D13" i="55"/>
  <c r="D14" i="55"/>
  <c r="D15" i="55"/>
  <c r="D16" i="55"/>
  <c r="D17" i="55"/>
  <c r="D18" i="55"/>
  <c r="D19" i="55"/>
  <c r="D20" i="55"/>
  <c r="D21" i="55"/>
  <c r="D22" i="55"/>
  <c r="D23" i="55"/>
  <c r="D24" i="55"/>
  <c r="D25" i="55"/>
  <c r="D26" i="55"/>
  <c r="D27" i="55"/>
  <c r="D3" i="55"/>
  <c r="F28" i="55"/>
  <c r="G28" i="55"/>
  <c r="H28" i="55"/>
  <c r="I28" i="55"/>
  <c r="L28" i="55"/>
  <c r="M28" i="55"/>
  <c r="G29" i="55"/>
  <c r="H29" i="55"/>
  <c r="I29" i="55"/>
  <c r="L29" i="55"/>
  <c r="M29" i="55"/>
  <c r="Q599" i="48"/>
  <c r="C11" i="31"/>
  <c r="D26" i="54"/>
  <c r="E26" i="54" s="1"/>
  <c r="B21" i="3" s="1"/>
  <c r="C30" i="54"/>
  <c r="C34" i="54" s="1"/>
  <c r="E15" i="38"/>
  <c r="E16" i="38"/>
  <c r="E27" i="38"/>
  <c r="E28" i="38"/>
  <c r="E29" i="38"/>
  <c r="E18" i="38"/>
  <c r="E19" i="38"/>
  <c r="E22" i="38"/>
  <c r="E24" i="38"/>
  <c r="E25" i="38"/>
  <c r="C33" i="54"/>
  <c r="C32" i="54"/>
  <c r="B9" i="49"/>
  <c r="B31" i="54"/>
  <c r="B32" i="54" s="1"/>
  <c r="B33" i="54" s="1"/>
  <c r="E23" i="54"/>
  <c r="E22" i="54"/>
  <c r="E20" i="54"/>
  <c r="E19" i="54"/>
  <c r="E17" i="54"/>
  <c r="E16" i="54"/>
  <c r="E14" i="54"/>
  <c r="E13" i="54"/>
  <c r="E12" i="54"/>
  <c r="E10" i="54"/>
  <c r="E9" i="54"/>
  <c r="E7" i="54"/>
  <c r="E6" i="54"/>
  <c r="A60" i="29"/>
  <c r="K8" i="29" s="1"/>
  <c r="B7" i="49"/>
  <c r="J29" i="29"/>
  <c r="J30" i="29" s="1"/>
  <c r="J31" i="29" s="1"/>
  <c r="J32" i="29" s="1"/>
  <c r="J33" i="29" s="1"/>
  <c r="J24" i="29"/>
  <c r="J25" i="29" s="1"/>
  <c r="J26" i="29" s="1"/>
  <c r="J27" i="29" s="1"/>
  <c r="J19" i="29"/>
  <c r="J20" i="29" s="1"/>
  <c r="J21" i="29" s="1"/>
  <c r="J22" i="29" s="1"/>
  <c r="J14" i="29"/>
  <c r="J15" i="29" s="1"/>
  <c r="J16" i="29" s="1"/>
  <c r="J17" i="29" s="1"/>
  <c r="J10" i="29"/>
  <c r="J11" i="29" s="1"/>
  <c r="J12" i="29" s="1"/>
  <c r="J9" i="29"/>
  <c r="C15" i="49"/>
  <c r="B15" i="49"/>
  <c r="C14" i="49"/>
  <c r="B13" i="49"/>
  <c r="C12" i="49"/>
  <c r="B12" i="49"/>
  <c r="C11" i="49"/>
  <c r="B5" i="49"/>
  <c r="C4" i="49"/>
  <c r="B4" i="49"/>
  <c r="C3" i="49"/>
  <c r="B3" i="49"/>
  <c r="S601" i="48"/>
  <c r="S598" i="48"/>
  <c r="Q600" i="48"/>
  <c r="S600" i="48" s="1"/>
  <c r="S599" i="48"/>
  <c r="Q598" i="48"/>
  <c r="P598" i="48"/>
  <c r="P599" i="48" s="1"/>
  <c r="P600" i="48" s="1"/>
  <c r="P601" i="48" s="1"/>
  <c r="Q597" i="48"/>
  <c r="S597" i="48" s="1"/>
  <c r="U595" i="48"/>
  <c r="B16" i="3"/>
  <c r="F25" i="41"/>
  <c r="F26" i="41"/>
  <c r="F27" i="41"/>
  <c r="F24" i="41"/>
  <c r="E5" i="38"/>
  <c r="E6" i="38"/>
  <c r="E7" i="38"/>
  <c r="E13" i="38"/>
  <c r="E14" i="38"/>
  <c r="B18" i="43"/>
  <c r="A18" i="43"/>
  <c r="C14" i="36"/>
  <c r="C15" i="36" s="1"/>
  <c r="C16" i="36" s="1"/>
  <c r="C17" i="36" s="1"/>
  <c r="C18" i="36" s="1"/>
  <c r="C19" i="36" s="1"/>
  <c r="G9" i="29"/>
  <c r="G10" i="29" s="1"/>
  <c r="G11" i="29" s="1"/>
  <c r="G12" i="29" s="1"/>
  <c r="G14" i="29"/>
  <c r="G15" i="29" s="1"/>
  <c r="G16" i="29" s="1"/>
  <c r="G17" i="29" s="1"/>
  <c r="G19" i="29"/>
  <c r="G20" i="29" s="1"/>
  <c r="G21" i="29" s="1"/>
  <c r="G22" i="29" s="1"/>
  <c r="G24" i="29"/>
  <c r="G25" i="29" s="1"/>
  <c r="G26" i="29" s="1"/>
  <c r="G27" i="29" s="1"/>
  <c r="G29" i="29"/>
  <c r="G30" i="29"/>
  <c r="G31" i="29" s="1"/>
  <c r="G32" i="29" s="1"/>
  <c r="G33" i="29" s="1"/>
  <c r="E4" i="38"/>
  <c r="L6" i="20"/>
  <c r="B3" i="36"/>
  <c r="B2" i="36"/>
  <c r="E13"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C20" i="36" l="1"/>
  <c r="D19" i="36"/>
  <c r="F29" i="41"/>
  <c r="U4" i="55"/>
  <c r="Y7" i="55"/>
  <c r="AB7" i="55" s="1"/>
  <c r="Y4" i="55"/>
  <c r="AB4" i="55" s="1"/>
  <c r="Y5" i="55"/>
  <c r="AB5" i="55" s="1"/>
  <c r="AB6" i="55" s="1"/>
  <c r="Y6" i="55"/>
  <c r="Z6" i="55"/>
  <c r="E31" i="22"/>
  <c r="C32" i="22"/>
  <c r="C33" i="22"/>
  <c r="C19" i="22"/>
  <c r="C20" i="22"/>
  <c r="C21" i="22"/>
  <c r="C16" i="22"/>
  <c r="C17" i="22"/>
  <c r="C18" i="22"/>
  <c r="U5" i="55"/>
  <c r="U6" i="55"/>
  <c r="U7" i="55"/>
  <c r="C6" i="49"/>
  <c r="C8" i="49" s="1"/>
  <c r="D14" i="36"/>
  <c r="E14" i="36" s="1"/>
  <c r="C21" i="36" l="1"/>
  <c r="D20" i="36"/>
  <c r="Z8" i="55"/>
  <c r="D15" i="36"/>
  <c r="E15" i="36" s="1"/>
  <c r="C22" i="36" l="1"/>
  <c r="D16" i="36"/>
  <c r="E16" i="36" s="1"/>
  <c r="C23" i="36" l="1"/>
  <c r="D22" i="36"/>
  <c r="D17" i="36"/>
  <c r="E17" i="36" s="1"/>
  <c r="C24" i="36" l="1"/>
  <c r="D23" i="36"/>
  <c r="D18" i="36"/>
  <c r="E18" i="36" s="1"/>
  <c r="C25" i="36" l="1"/>
  <c r="C26" i="36" s="1"/>
  <c r="C27" i="36" s="1"/>
  <c r="C28" i="36" s="1"/>
  <c r="C29" i="36" s="1"/>
  <c r="C30" i="36" s="1"/>
  <c r="C31" i="36" s="1"/>
  <c r="C32" i="36" s="1"/>
  <c r="C33" i="36" s="1"/>
  <c r="C34" i="36" s="1"/>
  <c r="C35" i="36" s="1"/>
  <c r="C36" i="36" s="1"/>
  <c r="C37" i="36" s="1"/>
  <c r="C38" i="36" s="1"/>
  <c r="C39" i="36" s="1"/>
  <c r="D24" i="36"/>
  <c r="E19" i="36"/>
  <c r="E20" i="36" l="1"/>
  <c r="E22" i="36" l="1"/>
  <c r="E23" i="36" l="1"/>
  <c r="E24" i="36" l="1"/>
  <c r="D25" i="36"/>
  <c r="E25" i="36" s="1"/>
  <c r="D26" i="36" l="1"/>
  <c r="E26" i="36" s="1"/>
  <c r="D27" i="36" l="1"/>
  <c r="E27" i="36" s="1"/>
  <c r="A13" i="47"/>
  <c r="B8" i="47"/>
  <c r="A8" i="47"/>
  <c r="A9" i="47"/>
  <c r="B7" i="47"/>
  <c r="A7" i="47"/>
  <c r="A6" i="47"/>
  <c r="B5" i="47"/>
  <c r="A5" i="47"/>
  <c r="B4" i="47"/>
  <c r="A4" i="47"/>
  <c r="D28" i="36" l="1"/>
  <c r="E28" i="36" s="1"/>
  <c r="A12" i="39"/>
  <c r="A13" i="39"/>
  <c r="A14" i="39"/>
  <c r="B5" i="39"/>
  <c r="D29" i="36" l="1"/>
  <c r="E29" i="36" s="1"/>
  <c r="D30" i="36" l="1"/>
  <c r="E30" i="36" s="1"/>
  <c r="D31" i="36" l="1"/>
  <c r="E31" i="36" s="1"/>
  <c r="D32" i="36" l="1"/>
  <c r="E32" i="36" s="1"/>
  <c r="D33" i="36" l="1"/>
  <c r="E33" i="36" s="1"/>
  <c r="J3" i="20"/>
  <c r="H4" i="20"/>
  <c r="H3" i="20"/>
  <c r="J6" i="20"/>
  <c r="J7" i="20"/>
  <c r="J8" i="20"/>
  <c r="J9" i="20"/>
  <c r="J11" i="20"/>
  <c r="J12" i="20"/>
  <c r="E18" i="20"/>
  <c r="F18" i="20"/>
  <c r="G18" i="20"/>
  <c r="H18" i="20"/>
  <c r="I18" i="20"/>
  <c r="D34" i="36" l="1"/>
  <c r="E34" i="36" s="1"/>
  <c r="K9" i="29"/>
  <c r="B14" i="31"/>
  <c r="B15" i="31"/>
  <c r="C14" i="31"/>
  <c r="C13" i="42"/>
  <c r="B8" i="1"/>
  <c r="A8" i="1"/>
  <c r="A9" i="1"/>
  <c r="B22" i="3"/>
  <c r="C9" i="49" s="1"/>
  <c r="C14" i="42" l="1"/>
  <c r="C13" i="49"/>
  <c r="C8" i="31"/>
  <c r="H9" i="29"/>
  <c r="H10" i="29" s="1"/>
  <c r="H11" i="29" s="1"/>
  <c r="H12" i="29" s="1"/>
  <c r="H13" i="29" s="1"/>
  <c r="H14" i="29" s="1"/>
  <c r="H15" i="29" s="1"/>
  <c r="H16" i="29" s="1"/>
  <c r="H17" i="29" s="1"/>
  <c r="H18" i="29" s="1"/>
  <c r="H19" i="29" s="1"/>
  <c r="H20" i="29" s="1"/>
  <c r="H21" i="29" s="1"/>
  <c r="H22" i="29" s="1"/>
  <c r="H23" i="29" s="1"/>
  <c r="H24" i="29" s="1"/>
  <c r="H25" i="29" s="1"/>
  <c r="H26" i="29" s="1"/>
  <c r="H27" i="29" s="1"/>
  <c r="H28" i="29" s="1"/>
  <c r="H29" i="29" s="1"/>
  <c r="H30" i="29" s="1"/>
  <c r="H31" i="29" s="1"/>
  <c r="H32" i="29" s="1"/>
  <c r="H33" i="29" s="1"/>
  <c r="H34" i="29" s="1"/>
  <c r="H35" i="29" s="1"/>
  <c r="H36" i="29" s="1"/>
  <c r="K10" i="29"/>
  <c r="K11" i="29" s="1"/>
  <c r="K12" i="29" s="1"/>
  <c r="K13" i="29" s="1"/>
  <c r="K14" i="29" s="1"/>
  <c r="K15" i="29" s="1"/>
  <c r="K16" i="29" s="1"/>
  <c r="D35" i="36"/>
  <c r="E35" i="36" s="1"/>
  <c r="B9" i="1"/>
  <c r="C15" i="31"/>
  <c r="H37" i="29" l="1"/>
  <c r="H38" i="29" s="1"/>
  <c r="H39" i="29" s="1"/>
  <c r="H40" i="29" s="1"/>
  <c r="H41" i="29" s="1"/>
  <c r="H42" i="29" s="1"/>
  <c r="H43" i="29" s="1"/>
  <c r="H44" i="29" s="1"/>
  <c r="H45" i="29" s="1"/>
  <c r="H46" i="29" s="1"/>
  <c r="H47" i="29" s="1"/>
  <c r="H48" i="29" s="1"/>
  <c r="C39" i="42"/>
  <c r="D39" i="42" s="1"/>
  <c r="K17" i="29"/>
  <c r="D36" i="36"/>
  <c r="E36" i="36" s="1"/>
  <c r="D11" i="44"/>
  <c r="F11" i="44" s="1"/>
  <c r="E11" i="44"/>
  <c r="E10" i="44"/>
  <c r="D10" i="44"/>
  <c r="F10" i="44" s="1"/>
  <c r="E9" i="44"/>
  <c r="D9" i="44"/>
  <c r="F9" i="44" s="1"/>
  <c r="B7" i="20"/>
  <c r="C15" i="42"/>
  <c r="C12" i="42"/>
  <c r="D3" i="29"/>
  <c r="C10" i="49" s="1"/>
  <c r="C8" i="42"/>
  <c r="B12" i="43"/>
  <c r="B11" i="43"/>
  <c r="A49" i="43"/>
  <c r="D8" i="44"/>
  <c r="E8" i="44"/>
  <c r="B6" i="39"/>
  <c r="E39" i="42" l="1"/>
  <c r="F39" i="42"/>
  <c r="G11" i="44"/>
  <c r="K18" i="29"/>
  <c r="C12" i="31"/>
  <c r="D37" i="36"/>
  <c r="E37" i="36" s="1"/>
  <c r="G9" i="44"/>
  <c r="G10" i="44"/>
  <c r="B50" i="43"/>
  <c r="F7" i="44"/>
  <c r="G7" i="44" s="1"/>
  <c r="F8" i="44"/>
  <c r="G8" i="44" s="1"/>
  <c r="H39" i="42" l="1"/>
  <c r="F60" i="37"/>
  <c r="G39" i="42"/>
  <c r="F36" i="37"/>
  <c r="K19" i="29"/>
  <c r="D38" i="36"/>
  <c r="E38" i="36" s="1"/>
  <c r="B51" i="43"/>
  <c r="A50" i="43"/>
  <c r="A8" i="43"/>
  <c r="A3" i="43"/>
  <c r="B3" i="43"/>
  <c r="A4" i="43"/>
  <c r="B4" i="43"/>
  <c r="A5" i="43"/>
  <c r="B5" i="43"/>
  <c r="A6" i="43"/>
  <c r="B6" i="43"/>
  <c r="A7" i="43"/>
  <c r="M15" i="20"/>
  <c r="N15" i="20"/>
  <c r="U15" i="20" s="1"/>
  <c r="O15" i="20"/>
  <c r="V15" i="20" s="1"/>
  <c r="P15" i="20"/>
  <c r="W15" i="20" s="1"/>
  <c r="Q15" i="20"/>
  <c r="M16" i="20"/>
  <c r="T16" i="20" s="1"/>
  <c r="N16" i="20"/>
  <c r="U16" i="20" s="1"/>
  <c r="O16" i="20"/>
  <c r="V16" i="20" s="1"/>
  <c r="P16" i="20"/>
  <c r="W16" i="20" s="1"/>
  <c r="Q16" i="20"/>
  <c r="X16" i="20" s="1"/>
  <c r="M17" i="20"/>
  <c r="T17" i="20" s="1"/>
  <c r="N17" i="20"/>
  <c r="U17" i="20" s="1"/>
  <c r="O17" i="20"/>
  <c r="V17" i="20" s="1"/>
  <c r="P17" i="20"/>
  <c r="W17" i="20" s="1"/>
  <c r="Q17" i="20"/>
  <c r="X17" i="20" s="1"/>
  <c r="L16" i="20"/>
  <c r="S16" i="20" s="1"/>
  <c r="L17" i="20"/>
  <c r="L15" i="20"/>
  <c r="S15" i="20" s="1"/>
  <c r="B3" i="37"/>
  <c r="B4" i="37"/>
  <c r="K15" i="20"/>
  <c r="B6" i="42"/>
  <c r="C5" i="42"/>
  <c r="B5" i="42"/>
  <c r="C4" i="42"/>
  <c r="B4" i="42"/>
  <c r="I39" i="42" l="1"/>
  <c r="J39" i="42" s="1"/>
  <c r="T15" i="20"/>
  <c r="T18" i="20" s="1"/>
  <c r="D24" i="20" s="1"/>
  <c r="X15" i="20"/>
  <c r="X18" i="20" s="1"/>
  <c r="S17" i="20"/>
  <c r="Y17" i="20" s="1"/>
  <c r="E49" i="43"/>
  <c r="K20" i="29"/>
  <c r="D39" i="36"/>
  <c r="E39" i="36" s="1"/>
  <c r="K18" i="20"/>
  <c r="Y16" i="20"/>
  <c r="W18" i="20"/>
  <c r="G24" i="20" s="1"/>
  <c r="V18" i="20"/>
  <c r="F24" i="20" s="1"/>
  <c r="R15" i="20"/>
  <c r="U18" i="20"/>
  <c r="P18" i="20"/>
  <c r="M18" i="20"/>
  <c r="O18" i="20"/>
  <c r="Q18" i="20"/>
  <c r="L18" i="20"/>
  <c r="N18" i="20"/>
  <c r="R16" i="20"/>
  <c r="B52" i="43"/>
  <c r="A51" i="43"/>
  <c r="R17" i="20"/>
  <c r="E24" i="41"/>
  <c r="E29" i="41" s="1"/>
  <c r="N5" i="41"/>
  <c r="D26" i="41" s="1"/>
  <c r="N4" i="41"/>
  <c r="C22" i="41" s="1"/>
  <c r="N3" i="41"/>
  <c r="B22" i="41" s="1"/>
  <c r="G12" i="22"/>
  <c r="G13" i="22"/>
  <c r="B12" i="22"/>
  <c r="A12" i="22" s="1"/>
  <c r="C8" i="29"/>
  <c r="B15" i="13"/>
  <c r="C15" i="13"/>
  <c r="C13" i="13"/>
  <c r="C20" i="13" s="1"/>
  <c r="B14" i="12"/>
  <c r="A8" i="12"/>
  <c r="E8" i="41"/>
  <c r="D8" i="41"/>
  <c r="C8" i="41"/>
  <c r="S18" i="20" l="1"/>
  <c r="C27" i="41"/>
  <c r="A14" i="12"/>
  <c r="B15" i="12"/>
  <c r="D23" i="41"/>
  <c r="C24" i="41"/>
  <c r="B19" i="49"/>
  <c r="C19" i="49" s="1"/>
  <c r="D19" i="49" s="1"/>
  <c r="C5" i="49"/>
  <c r="K21" i="29"/>
  <c r="B6" i="47"/>
  <c r="B17" i="47" s="1"/>
  <c r="B18" i="47" s="1"/>
  <c r="B4" i="36"/>
  <c r="D42" i="36"/>
  <c r="B21" i="31"/>
  <c r="B24" i="20"/>
  <c r="Y15" i="20"/>
  <c r="Y18" i="20" s="1"/>
  <c r="R18" i="20"/>
  <c r="B18" i="44"/>
  <c r="B19" i="44" s="1"/>
  <c r="B20" i="44" s="1"/>
  <c r="B21" i="44" s="1"/>
  <c r="B22" i="44" s="1"/>
  <c r="B23" i="44" s="1"/>
  <c r="B7" i="39"/>
  <c r="B53" i="43"/>
  <c r="A52" i="43"/>
  <c r="B23" i="41"/>
  <c r="B26" i="41"/>
  <c r="C6" i="42"/>
  <c r="B19" i="42" s="1"/>
  <c r="C19" i="42" s="1"/>
  <c r="B7" i="43"/>
  <c r="B23" i="43" s="1"/>
  <c r="B27" i="41"/>
  <c r="B24" i="41"/>
  <c r="C25" i="41"/>
  <c r="D24" i="41"/>
  <c r="B25" i="41"/>
  <c r="C26" i="41"/>
  <c r="D25" i="41"/>
  <c r="C23" i="41"/>
  <c r="C29" i="41" s="1"/>
  <c r="B13" i="22"/>
  <c r="B29" i="29"/>
  <c r="B24" i="29"/>
  <c r="B19" i="29"/>
  <c r="B20" i="29" s="1"/>
  <c r="B14" i="29"/>
  <c r="B15" i="29" s="1"/>
  <c r="B16" i="29" s="1"/>
  <c r="B17" i="29" s="1"/>
  <c r="B9" i="29"/>
  <c r="A4" i="1"/>
  <c r="A5" i="1"/>
  <c r="A6" i="1"/>
  <c r="A12" i="1"/>
  <c r="A11" i="1"/>
  <c r="A10" i="1"/>
  <c r="B58" i="3"/>
  <c r="B7" i="37" s="1"/>
  <c r="A7" i="1"/>
  <c r="B7" i="1"/>
  <c r="B29" i="41" l="1"/>
  <c r="D29" i="41"/>
  <c r="E19" i="49"/>
  <c r="E42" i="36"/>
  <c r="C12" i="21" s="1"/>
  <c r="A15" i="12"/>
  <c r="B16" i="12"/>
  <c r="G22" i="41"/>
  <c r="G23" i="41"/>
  <c r="H23" i="41" s="1"/>
  <c r="A17" i="47"/>
  <c r="B24" i="43"/>
  <c r="A23" i="43"/>
  <c r="E23" i="43"/>
  <c r="B20" i="49"/>
  <c r="A19" i="49"/>
  <c r="K22" i="29"/>
  <c r="B10" i="29"/>
  <c r="B11" i="29" s="1"/>
  <c r="B12" i="29" s="1"/>
  <c r="A21" i="31"/>
  <c r="B19" i="47"/>
  <c r="A18" i="47"/>
  <c r="B25" i="20"/>
  <c r="A25" i="20" s="1"/>
  <c r="A19" i="42"/>
  <c r="B20" i="42"/>
  <c r="C20" i="42" s="1"/>
  <c r="D8" i="29"/>
  <c r="E8" i="29" s="1"/>
  <c r="B54" i="43"/>
  <c r="A53" i="43"/>
  <c r="B24" i="44"/>
  <c r="A23" i="41"/>
  <c r="B21" i="29"/>
  <c r="B22" i="29" s="1"/>
  <c r="B25" i="29"/>
  <c r="B30" i="29"/>
  <c r="B14" i="22"/>
  <c r="A13" i="22"/>
  <c r="G7" i="38" l="1"/>
  <c r="B17" i="12"/>
  <c r="B25" i="43"/>
  <c r="A24" i="43"/>
  <c r="B21" i="49"/>
  <c r="A20" i="49"/>
  <c r="C20" i="49"/>
  <c r="K23" i="29"/>
  <c r="B20" i="47"/>
  <c r="A19" i="47"/>
  <c r="B21" i="42"/>
  <c r="C21" i="42" s="1"/>
  <c r="A20" i="42"/>
  <c r="B55" i="43"/>
  <c r="A54" i="43"/>
  <c r="B25" i="44"/>
  <c r="A24" i="41"/>
  <c r="B31" i="29"/>
  <c r="B26" i="29"/>
  <c r="A14" i="22"/>
  <c r="B15" i="22"/>
  <c r="A45" i="39"/>
  <c r="G22" i="39"/>
  <c r="B18" i="12" l="1"/>
  <c r="B26" i="43"/>
  <c r="A25" i="43"/>
  <c r="B22" i="49"/>
  <c r="A21" i="49"/>
  <c r="C21" i="49"/>
  <c r="K24" i="29"/>
  <c r="B21" i="47"/>
  <c r="A20" i="47"/>
  <c r="B22" i="42"/>
  <c r="C22" i="42" s="1"/>
  <c r="A21" i="42"/>
  <c r="B56" i="43"/>
  <c r="A55" i="43"/>
  <c r="B26" i="44"/>
  <c r="A25" i="41"/>
  <c r="B27" i="29"/>
  <c r="B32" i="29"/>
  <c r="A15" i="22"/>
  <c r="B16" i="22"/>
  <c r="A46" i="39"/>
  <c r="F22" i="39"/>
  <c r="F23" i="39" s="1"/>
  <c r="B19" i="12" l="1"/>
  <c r="A47" i="39"/>
  <c r="B27" i="43"/>
  <c r="A26" i="43"/>
  <c r="B23" i="49"/>
  <c r="A22" i="49"/>
  <c r="C22" i="49"/>
  <c r="K25" i="29"/>
  <c r="B22" i="47"/>
  <c r="A21" i="47"/>
  <c r="B23" i="42"/>
  <c r="C23" i="42" s="1"/>
  <c r="A22" i="42"/>
  <c r="B57" i="43"/>
  <c r="A56" i="43"/>
  <c r="B27" i="44"/>
  <c r="A26" i="41"/>
  <c r="B33" i="29"/>
  <c r="A16" i="22"/>
  <c r="B17" i="22"/>
  <c r="B20" i="12" l="1"/>
  <c r="A48" i="39"/>
  <c r="B28" i="43"/>
  <c r="A27" i="43"/>
  <c r="B24" i="49"/>
  <c r="A23" i="49"/>
  <c r="C23" i="49"/>
  <c r="K26" i="29"/>
  <c r="B23" i="47"/>
  <c r="A22" i="47"/>
  <c r="A23" i="42"/>
  <c r="B24" i="42"/>
  <c r="C24" i="42" s="1"/>
  <c r="B58" i="43"/>
  <c r="A57" i="43"/>
  <c r="B28" i="44"/>
  <c r="A27" i="41"/>
  <c r="A28" i="41" s="1"/>
  <c r="A17" i="22"/>
  <c r="B18" i="22"/>
  <c r="B21" i="12" l="1"/>
  <c r="A49" i="39"/>
  <c r="B29" i="43"/>
  <c r="A28" i="43"/>
  <c r="B25" i="49"/>
  <c r="A24" i="49"/>
  <c r="C24" i="49"/>
  <c r="K27" i="29"/>
  <c r="B24" i="47"/>
  <c r="A23" i="47"/>
  <c r="A24" i="42"/>
  <c r="B25" i="42"/>
  <c r="C25" i="42" s="1"/>
  <c r="B59" i="43"/>
  <c r="A58" i="43"/>
  <c r="B29" i="44"/>
  <c r="A18" i="22"/>
  <c r="B19" i="22"/>
  <c r="B22" i="12" l="1"/>
  <c r="A50" i="39"/>
  <c r="B30" i="43"/>
  <c r="A29" i="43"/>
  <c r="B26" i="49"/>
  <c r="A25" i="49"/>
  <c r="C25" i="49"/>
  <c r="K28" i="29"/>
  <c r="B25" i="47"/>
  <c r="A24" i="47"/>
  <c r="A25" i="42"/>
  <c r="B26" i="42"/>
  <c r="C26" i="42" s="1"/>
  <c r="B60" i="43"/>
  <c r="A59" i="43"/>
  <c r="B30" i="44"/>
  <c r="A19" i="22"/>
  <c r="B20" i="22"/>
  <c r="B23" i="12" l="1"/>
  <c r="A51" i="39"/>
  <c r="B31" i="43"/>
  <c r="A30" i="43"/>
  <c r="B27" i="49"/>
  <c r="A26" i="49"/>
  <c r="C26" i="49"/>
  <c r="K29" i="29"/>
  <c r="B26" i="47"/>
  <c r="A25" i="47"/>
  <c r="A26" i="42"/>
  <c r="B27" i="42"/>
  <c r="C27" i="42" s="1"/>
  <c r="B61" i="43"/>
  <c r="A60" i="43"/>
  <c r="B31" i="44"/>
  <c r="B21" i="22"/>
  <c r="A20" i="22"/>
  <c r="B24" i="12" l="1"/>
  <c r="A52" i="39"/>
  <c r="B32" i="43"/>
  <c r="A31" i="43"/>
  <c r="B28" i="49"/>
  <c r="A27" i="49"/>
  <c r="C27" i="49"/>
  <c r="K30" i="29"/>
  <c r="B27" i="47"/>
  <c r="A26" i="47"/>
  <c r="A27" i="42"/>
  <c r="B28" i="42"/>
  <c r="C28" i="42" s="1"/>
  <c r="B62" i="43"/>
  <c r="A61" i="43"/>
  <c r="B32" i="44"/>
  <c r="A21" i="22"/>
  <c r="B22" i="22"/>
  <c r="B25" i="12" l="1"/>
  <c r="A53" i="39"/>
  <c r="A32" i="43"/>
  <c r="B33" i="43"/>
  <c r="B29" i="49"/>
  <c r="A28" i="49"/>
  <c r="C28" i="49"/>
  <c r="K31" i="29"/>
  <c r="B28" i="47"/>
  <c r="A27" i="47"/>
  <c r="A28" i="42"/>
  <c r="B29" i="42"/>
  <c r="C29" i="42" s="1"/>
  <c r="B63" i="43"/>
  <c r="A62" i="43"/>
  <c r="B33" i="44"/>
  <c r="A22" i="22"/>
  <c r="B23" i="22"/>
  <c r="B26" i="12" l="1"/>
  <c r="A54" i="39"/>
  <c r="B34" i="43"/>
  <c r="A33" i="43"/>
  <c r="B30" i="49"/>
  <c r="A29" i="49"/>
  <c r="C29" i="49"/>
  <c r="K32" i="29"/>
  <c r="B29" i="47"/>
  <c r="A28" i="47"/>
  <c r="A29" i="42"/>
  <c r="B30" i="42"/>
  <c r="C30" i="42" s="1"/>
  <c r="B64" i="43"/>
  <c r="A63" i="43"/>
  <c r="B34" i="44"/>
  <c r="B24" i="22"/>
  <c r="A23" i="22"/>
  <c r="B27" i="12" l="1"/>
  <c r="A55" i="39"/>
  <c r="B35" i="43"/>
  <c r="A34" i="43"/>
  <c r="B31" i="49"/>
  <c r="A30" i="49"/>
  <c r="C30" i="49"/>
  <c r="K33" i="29"/>
  <c r="B30" i="47"/>
  <c r="A29" i="47"/>
  <c r="B31" i="42"/>
  <c r="C31" i="42" s="1"/>
  <c r="A30" i="42"/>
  <c r="B65" i="43"/>
  <c r="A64" i="43"/>
  <c r="B35" i="44"/>
  <c r="A24" i="22"/>
  <c r="B25" i="22"/>
  <c r="B28" i="12" l="1"/>
  <c r="A56" i="39"/>
  <c r="B36" i="43"/>
  <c r="A35" i="43"/>
  <c r="B32" i="49"/>
  <c r="A31" i="49"/>
  <c r="C31" i="49"/>
  <c r="K34" i="29"/>
  <c r="A30" i="47"/>
  <c r="B31" i="47"/>
  <c r="B32" i="42"/>
  <c r="C32" i="42" s="1"/>
  <c r="A31" i="42"/>
  <c r="B66" i="43"/>
  <c r="A65" i="43"/>
  <c r="B36" i="44"/>
  <c r="A25" i="22"/>
  <c r="B26" i="22"/>
  <c r="B29" i="12" l="1"/>
  <c r="A57" i="39"/>
  <c r="B37" i="43"/>
  <c r="A36" i="43"/>
  <c r="B33" i="49"/>
  <c r="A32" i="49"/>
  <c r="C32" i="49"/>
  <c r="K35" i="29"/>
  <c r="B32" i="47"/>
  <c r="A31" i="47"/>
  <c r="B33" i="42"/>
  <c r="C33" i="42" s="1"/>
  <c r="A32" i="42"/>
  <c r="B67" i="43"/>
  <c r="A66" i="43"/>
  <c r="B37" i="44"/>
  <c r="A26" i="22"/>
  <c r="B27" i="22"/>
  <c r="B30" i="12" l="1"/>
  <c r="A58" i="39"/>
  <c r="B38" i="43"/>
  <c r="A37" i="43"/>
  <c r="B34" i="49"/>
  <c r="A33" i="49"/>
  <c r="C33" i="49"/>
  <c r="K36" i="29"/>
  <c r="B33" i="47"/>
  <c r="A32" i="47"/>
  <c r="B34" i="42"/>
  <c r="C34" i="42" s="1"/>
  <c r="A33" i="42"/>
  <c r="B68" i="43"/>
  <c r="A68" i="43" s="1"/>
  <c r="A67" i="43"/>
  <c r="A27" i="22"/>
  <c r="B28" i="22"/>
  <c r="K37" i="29" l="1"/>
  <c r="K38" i="29" s="1"/>
  <c r="K39" i="29" s="1"/>
  <c r="K40" i="29" s="1"/>
  <c r="K41" i="29" s="1"/>
  <c r="K42" i="29" s="1"/>
  <c r="K43" i="29" s="1"/>
  <c r="K44" i="29" s="1"/>
  <c r="K45" i="29" s="1"/>
  <c r="K46" i="29" s="1"/>
  <c r="K47" i="29" s="1"/>
  <c r="K48" i="29" s="1"/>
  <c r="C39" i="49"/>
  <c r="D39" i="49" s="1"/>
  <c r="E39" i="49" s="1"/>
  <c r="B31" i="12"/>
  <c r="A59" i="39"/>
  <c r="A38" i="43"/>
  <c r="B39" i="43"/>
  <c r="B35" i="49"/>
  <c r="A34" i="49"/>
  <c r="C34" i="49"/>
  <c r="B34" i="47"/>
  <c r="A33" i="47"/>
  <c r="B35" i="42"/>
  <c r="C35" i="42" s="1"/>
  <c r="A34" i="42"/>
  <c r="B29" i="22"/>
  <c r="A28" i="22"/>
  <c r="I39" i="49" l="1"/>
  <c r="F39" i="49"/>
  <c r="B32" i="12"/>
  <c r="A60" i="39"/>
  <c r="B40" i="43"/>
  <c r="A39" i="43"/>
  <c r="A35" i="49"/>
  <c r="B36" i="49"/>
  <c r="C35" i="49"/>
  <c r="A34" i="47"/>
  <c r="B35" i="47"/>
  <c r="B36" i="42"/>
  <c r="C36" i="42" s="1"/>
  <c r="A35" i="42"/>
  <c r="A29" i="22"/>
  <c r="B30" i="22"/>
  <c r="B31" i="22" s="1"/>
  <c r="E36" i="37" l="1"/>
  <c r="G39" i="49"/>
  <c r="H39" i="49" s="1"/>
  <c r="J39" i="49"/>
  <c r="K39" i="49" s="1"/>
  <c r="L39" i="49" s="1"/>
  <c r="E60" i="37"/>
  <c r="B33" i="12"/>
  <c r="A61" i="39"/>
  <c r="A31" i="22"/>
  <c r="B32" i="22"/>
  <c r="A40" i="43"/>
  <c r="B41" i="43"/>
  <c r="B37" i="49"/>
  <c r="A36" i="49"/>
  <c r="C36" i="49"/>
  <c r="A35" i="47"/>
  <c r="B36" i="47"/>
  <c r="B37" i="42"/>
  <c r="C37" i="42" s="1"/>
  <c r="A36" i="42"/>
  <c r="A30" i="22"/>
  <c r="B34" i="12" l="1"/>
  <c r="A62" i="39"/>
  <c r="B33" i="22"/>
  <c r="A33" i="22" s="1"/>
  <c r="A32" i="22"/>
  <c r="B42" i="43"/>
  <c r="A41" i="43"/>
  <c r="B38" i="49"/>
  <c r="A37" i="49"/>
  <c r="C37" i="49"/>
  <c r="A36" i="47"/>
  <c r="A37" i="42"/>
  <c r="B38" i="42"/>
  <c r="C38" i="42" s="1"/>
  <c r="A42" i="43" l="1"/>
  <c r="B43" i="43"/>
  <c r="A43" i="43" s="1"/>
  <c r="A63" i="39"/>
  <c r="A38" i="49"/>
  <c r="C38" i="49"/>
  <c r="A38" i="42"/>
  <c r="B16" i="37"/>
  <c r="B2" i="37"/>
  <c r="B5" i="37"/>
  <c r="B6" i="37"/>
  <c r="C13" i="31"/>
  <c r="C9" i="31"/>
  <c r="B9" i="31"/>
  <c r="C6" i="31"/>
  <c r="B6" i="31"/>
  <c r="C5" i="31"/>
  <c r="C4" i="31"/>
  <c r="B5" i="31"/>
  <c r="B4" i="31"/>
  <c r="B18" i="3"/>
  <c r="B6" i="1"/>
  <c r="B17" i="1" s="1"/>
  <c r="B5" i="1"/>
  <c r="B4" i="1"/>
  <c r="L16" i="37" l="1"/>
  <c r="I16" i="37"/>
  <c r="B12" i="39"/>
  <c r="B23" i="39" s="1"/>
  <c r="B29" i="39" s="1"/>
  <c r="A64" i="39"/>
  <c r="B13" i="39"/>
  <c r="B24" i="39" s="1"/>
  <c r="C7" i="31"/>
  <c r="C10" i="31" s="1"/>
  <c r="C7" i="42"/>
  <c r="D19" i="42" s="1"/>
  <c r="H17" i="1"/>
  <c r="B40" i="37"/>
  <c r="K40" i="37" s="1"/>
  <c r="B20" i="3"/>
  <c r="B18" i="1"/>
  <c r="A17" i="1"/>
  <c r="N40" i="37" l="1"/>
  <c r="H40" i="37"/>
  <c r="N17" i="1"/>
  <c r="N18" i="1" s="1"/>
  <c r="N19" i="1" s="1"/>
  <c r="N20" i="1" s="1"/>
  <c r="N21" i="1" s="1"/>
  <c r="N22" i="1" s="1"/>
  <c r="N23" i="1" s="1"/>
  <c r="N24" i="1" s="1"/>
  <c r="N25" i="1" s="1"/>
  <c r="N26" i="1" s="1"/>
  <c r="N27" i="1" s="1"/>
  <c r="N28" i="1" s="1"/>
  <c r="N29" i="1" s="1"/>
  <c r="N30" i="1" s="1"/>
  <c r="N31" i="1" s="1"/>
  <c r="N32" i="1" s="1"/>
  <c r="N33" i="1" s="1"/>
  <c r="N34" i="1" s="1"/>
  <c r="N35" i="1" s="1"/>
  <c r="N36" i="1" s="1"/>
  <c r="E19" i="42"/>
  <c r="G19" i="42" s="1"/>
  <c r="F19" i="42"/>
  <c r="H19" i="42" s="1"/>
  <c r="I19" i="42" s="1"/>
  <c r="J19" i="42" s="1"/>
  <c r="B27" i="39"/>
  <c r="B30" i="39"/>
  <c r="D20" i="42"/>
  <c r="D21" i="42"/>
  <c r="D22" i="42"/>
  <c r="D23" i="42"/>
  <c r="D24" i="42"/>
  <c r="D25" i="42"/>
  <c r="D26" i="42"/>
  <c r="D27" i="42"/>
  <c r="D28" i="42"/>
  <c r="D29" i="42"/>
  <c r="D30" i="42"/>
  <c r="D31" i="42"/>
  <c r="D32" i="42"/>
  <c r="D33" i="42"/>
  <c r="D34" i="42"/>
  <c r="D35" i="42"/>
  <c r="D36" i="42"/>
  <c r="D37" i="42"/>
  <c r="D38" i="42"/>
  <c r="F26" i="39"/>
  <c r="F29" i="39" s="1"/>
  <c r="F32" i="39" s="1"/>
  <c r="B10" i="1"/>
  <c r="B9" i="47"/>
  <c r="B14" i="39"/>
  <c r="B26" i="39"/>
  <c r="F25" i="39"/>
  <c r="F28" i="39" s="1"/>
  <c r="F31" i="39" s="1"/>
  <c r="A18" i="1"/>
  <c r="H18" i="1"/>
  <c r="B19" i="1"/>
  <c r="C17" i="47" l="1"/>
  <c r="D17" i="47"/>
  <c r="F33" i="39"/>
  <c r="F35" i="39" s="1"/>
  <c r="F36" i="39" s="1"/>
  <c r="B32" i="39"/>
  <c r="B34" i="39" s="1"/>
  <c r="B20" i="1"/>
  <c r="H19" i="1"/>
  <c r="A19" i="1"/>
  <c r="D18" i="47" l="1"/>
  <c r="F17" i="47"/>
  <c r="C18" i="47"/>
  <c r="E17" i="47"/>
  <c r="B21" i="1"/>
  <c r="A20" i="1"/>
  <c r="H20" i="1"/>
  <c r="G17" i="47" l="1"/>
  <c r="C19" i="47"/>
  <c r="E18" i="47"/>
  <c r="D19" i="47"/>
  <c r="F18" i="47"/>
  <c r="B41" i="39"/>
  <c r="A21" i="1"/>
  <c r="H21" i="1"/>
  <c r="C16" i="31"/>
  <c r="B22" i="31"/>
  <c r="B46" i="39" l="1"/>
  <c r="B47" i="39" s="1"/>
  <c r="B45" i="39"/>
  <c r="C45" i="39" s="1"/>
  <c r="H17" i="47"/>
  <c r="G18" i="47"/>
  <c r="H18" i="47" s="1"/>
  <c r="D20" i="47"/>
  <c r="F19" i="47"/>
  <c r="C20" i="47"/>
  <c r="E19" i="47"/>
  <c r="H22" i="1"/>
  <c r="B17" i="37"/>
  <c r="B23" i="31"/>
  <c r="A22" i="31"/>
  <c r="G19" i="47" l="1"/>
  <c r="H19" i="47" s="1"/>
  <c r="C46" i="39"/>
  <c r="I17" i="37"/>
  <c r="H41" i="37" s="1"/>
  <c r="L17" i="37"/>
  <c r="N41" i="37" s="1"/>
  <c r="D21" i="47"/>
  <c r="F20" i="47"/>
  <c r="C21" i="47"/>
  <c r="E20" i="47"/>
  <c r="H23" i="1"/>
  <c r="A23" i="31"/>
  <c r="B41" i="37"/>
  <c r="K41" i="37" s="1"/>
  <c r="B18" i="37"/>
  <c r="B24" i="31"/>
  <c r="C47" i="39" l="1"/>
  <c r="G20" i="47"/>
  <c r="H20" i="47" s="1"/>
  <c r="I18" i="37"/>
  <c r="H42" i="37" s="1"/>
  <c r="L18" i="37"/>
  <c r="N42" i="37" s="1"/>
  <c r="C22" i="47"/>
  <c r="E21" i="47"/>
  <c r="D22" i="47"/>
  <c r="F21" i="47"/>
  <c r="B48" i="39"/>
  <c r="H24" i="1"/>
  <c r="B42" i="37"/>
  <c r="K42" i="37" s="1"/>
  <c r="B19" i="37"/>
  <c r="A24" i="31"/>
  <c r="B25" i="31"/>
  <c r="C48" i="39" l="1"/>
  <c r="I19" i="37"/>
  <c r="H43" i="37" s="1"/>
  <c r="L19" i="37"/>
  <c r="N43" i="37" s="1"/>
  <c r="B49" i="39"/>
  <c r="C49" i="39" s="1"/>
  <c r="G21" i="47"/>
  <c r="D23" i="47"/>
  <c r="F22" i="47"/>
  <c r="C23" i="47"/>
  <c r="E22" i="47"/>
  <c r="H25" i="1"/>
  <c r="B43" i="37"/>
  <c r="K43" i="37" s="1"/>
  <c r="B20" i="37"/>
  <c r="A25" i="31"/>
  <c r="B26" i="31"/>
  <c r="G22" i="47" l="1"/>
  <c r="H22" i="47" s="1"/>
  <c r="I20" i="37"/>
  <c r="H44" i="37" s="1"/>
  <c r="L20" i="37"/>
  <c r="N44" i="37" s="1"/>
  <c r="B50" i="39"/>
  <c r="C50" i="39" s="1"/>
  <c r="C24" i="47"/>
  <c r="E23" i="47"/>
  <c r="D24" i="47"/>
  <c r="F23" i="47"/>
  <c r="H21" i="47"/>
  <c r="H26" i="1"/>
  <c r="B44" i="37"/>
  <c r="K44" i="37" s="1"/>
  <c r="B21" i="37"/>
  <c r="B27" i="31"/>
  <c r="A26" i="31"/>
  <c r="I21" i="37" l="1"/>
  <c r="H45" i="37" s="1"/>
  <c r="L21" i="37"/>
  <c r="N45" i="37" s="1"/>
  <c r="B51" i="39"/>
  <c r="C51" i="39" s="1"/>
  <c r="D25" i="47"/>
  <c r="F24" i="47"/>
  <c r="G23" i="47"/>
  <c r="C25" i="47"/>
  <c r="E24" i="47"/>
  <c r="G24" i="47" s="1"/>
  <c r="H24" i="47" s="1"/>
  <c r="H27" i="1"/>
  <c r="B45" i="37"/>
  <c r="K45" i="37" s="1"/>
  <c r="B22" i="37"/>
  <c r="A27" i="31"/>
  <c r="B28" i="31"/>
  <c r="B52" i="39" l="1"/>
  <c r="C52" i="39" s="1"/>
  <c r="I22" i="37"/>
  <c r="H46" i="37" s="1"/>
  <c r="L22" i="37"/>
  <c r="N46" i="37" s="1"/>
  <c r="C26" i="47"/>
  <c r="E25" i="47"/>
  <c r="H23" i="47"/>
  <c r="D26" i="47"/>
  <c r="F25" i="47"/>
  <c r="H28" i="1"/>
  <c r="B46" i="37"/>
  <c r="K46" i="37" s="1"/>
  <c r="B23" i="37"/>
  <c r="B29" i="31"/>
  <c r="A28" i="31"/>
  <c r="B53" i="39" l="1"/>
  <c r="C53" i="39" s="1"/>
  <c r="I23" i="37"/>
  <c r="H47" i="37" s="1"/>
  <c r="L23" i="37"/>
  <c r="N47" i="37" s="1"/>
  <c r="D27" i="47"/>
  <c r="F26" i="47"/>
  <c r="G25" i="47"/>
  <c r="H25" i="47" s="1"/>
  <c r="C27" i="47"/>
  <c r="E26" i="47"/>
  <c r="H29" i="1"/>
  <c r="B47" i="37"/>
  <c r="K47" i="37" s="1"/>
  <c r="B24" i="37"/>
  <c r="A29" i="31"/>
  <c r="B30" i="31"/>
  <c r="B54" i="39" l="1"/>
  <c r="C54" i="39" s="1"/>
  <c r="I24" i="37"/>
  <c r="H48" i="37" s="1"/>
  <c r="L24" i="37"/>
  <c r="N48" i="37" s="1"/>
  <c r="G26" i="47"/>
  <c r="H26" i="47" s="1"/>
  <c r="C28" i="47"/>
  <c r="E27" i="47"/>
  <c r="D28" i="47"/>
  <c r="F27" i="47"/>
  <c r="H30" i="1"/>
  <c r="B48" i="37"/>
  <c r="K48" i="37" s="1"/>
  <c r="B25" i="37"/>
  <c r="B31" i="31"/>
  <c r="A30" i="31"/>
  <c r="B55" i="39" l="1"/>
  <c r="C55" i="39" s="1"/>
  <c r="I25" i="37"/>
  <c r="H49" i="37" s="1"/>
  <c r="L25" i="37"/>
  <c r="N49" i="37" s="1"/>
  <c r="D29" i="47"/>
  <c r="F28" i="47"/>
  <c r="G27" i="47"/>
  <c r="H27" i="47" s="1"/>
  <c r="C29" i="47"/>
  <c r="E28" i="47"/>
  <c r="H31" i="1"/>
  <c r="B49" i="37"/>
  <c r="K49" i="37" s="1"/>
  <c r="B26" i="37"/>
  <c r="B32" i="31"/>
  <c r="A31" i="31"/>
  <c r="B56" i="39" l="1"/>
  <c r="C56" i="39" s="1"/>
  <c r="I26" i="37"/>
  <c r="H50" i="37" s="1"/>
  <c r="L26" i="37"/>
  <c r="N50" i="37" s="1"/>
  <c r="G28" i="47"/>
  <c r="H28" i="47" s="1"/>
  <c r="C30" i="47"/>
  <c r="E29" i="47"/>
  <c r="D30" i="47"/>
  <c r="F29" i="47"/>
  <c r="H32" i="1"/>
  <c r="B50" i="37"/>
  <c r="K50" i="37" s="1"/>
  <c r="B27" i="37"/>
  <c r="B33" i="31"/>
  <c r="A32" i="31"/>
  <c r="B57" i="39" l="1"/>
  <c r="C57" i="39" s="1"/>
  <c r="I27" i="37"/>
  <c r="H51" i="37" s="1"/>
  <c r="L27" i="37"/>
  <c r="N51" i="37" s="1"/>
  <c r="D31" i="47"/>
  <c r="F30" i="47"/>
  <c r="G29" i="47"/>
  <c r="H29" i="47" s="1"/>
  <c r="C31" i="47"/>
  <c r="E30" i="47"/>
  <c r="B58" i="39"/>
  <c r="C58" i="39" s="1"/>
  <c r="H33" i="1"/>
  <c r="B51" i="37"/>
  <c r="K51" i="37" s="1"/>
  <c r="B28" i="37"/>
  <c r="B34" i="31"/>
  <c r="A33" i="31"/>
  <c r="I28" i="37" l="1"/>
  <c r="H52" i="37" s="1"/>
  <c r="L28" i="37"/>
  <c r="N52" i="37" s="1"/>
  <c r="G30" i="47"/>
  <c r="H30" i="47" s="1"/>
  <c r="C32" i="47"/>
  <c r="E31" i="47"/>
  <c r="D32" i="47"/>
  <c r="F31" i="47"/>
  <c r="B59" i="39"/>
  <c r="C59" i="39" s="1"/>
  <c r="H34" i="1"/>
  <c r="B52" i="37"/>
  <c r="K52" i="37" s="1"/>
  <c r="B29" i="37"/>
  <c r="B35" i="31"/>
  <c r="A34" i="31"/>
  <c r="I29" i="37" l="1"/>
  <c r="H53" i="37" s="1"/>
  <c r="L29" i="37"/>
  <c r="N53" i="37" s="1"/>
  <c r="D33" i="47"/>
  <c r="F32" i="47"/>
  <c r="G31" i="47"/>
  <c r="H31" i="47" s="1"/>
  <c r="C33" i="47"/>
  <c r="E32" i="47"/>
  <c r="B60" i="39"/>
  <c r="C60" i="39" s="1"/>
  <c r="H35" i="1"/>
  <c r="B53" i="37"/>
  <c r="K53" i="37" s="1"/>
  <c r="B30" i="37"/>
  <c r="B36" i="31"/>
  <c r="A35" i="31"/>
  <c r="I30" i="37" l="1"/>
  <c r="H54" i="37" s="1"/>
  <c r="L30" i="37"/>
  <c r="N54" i="37" s="1"/>
  <c r="G32" i="47"/>
  <c r="H32" i="47" s="1"/>
  <c r="C34" i="47"/>
  <c r="E33" i="47"/>
  <c r="D34" i="47"/>
  <c r="F33" i="47"/>
  <c r="B61" i="39"/>
  <c r="C61" i="39" s="1"/>
  <c r="H36" i="1"/>
  <c r="B54" i="37"/>
  <c r="K54" i="37" s="1"/>
  <c r="B31" i="37"/>
  <c r="A36" i="31"/>
  <c r="B37" i="31"/>
  <c r="I31" i="37" l="1"/>
  <c r="H55" i="37" s="1"/>
  <c r="L31" i="37"/>
  <c r="N55" i="37" s="1"/>
  <c r="D35" i="47"/>
  <c r="F34" i="47"/>
  <c r="G33" i="47"/>
  <c r="H33" i="47" s="1"/>
  <c r="C35" i="47"/>
  <c r="E34" i="47"/>
  <c r="B62" i="39"/>
  <c r="C62" i="39" s="1"/>
  <c r="B55" i="37"/>
  <c r="K55" i="37" s="1"/>
  <c r="B32" i="37"/>
  <c r="A37" i="31"/>
  <c r="B38" i="31"/>
  <c r="I32" i="37" l="1"/>
  <c r="H56" i="37" s="1"/>
  <c r="L32" i="37"/>
  <c r="N56" i="37" s="1"/>
  <c r="G34" i="47"/>
  <c r="H34" i="47" s="1"/>
  <c r="C36" i="47"/>
  <c r="E35" i="47"/>
  <c r="D36" i="47"/>
  <c r="F35" i="47"/>
  <c r="B63" i="39"/>
  <c r="C63" i="39" s="1"/>
  <c r="B56" i="37"/>
  <c r="K56" i="37" s="1"/>
  <c r="B33" i="37"/>
  <c r="A38" i="31"/>
  <c r="B39" i="31"/>
  <c r="F36" i="47" l="1"/>
  <c r="D37" i="47"/>
  <c r="F37" i="47" s="1"/>
  <c r="E36" i="47"/>
  <c r="C37" i="47"/>
  <c r="E37" i="47" s="1"/>
  <c r="I33" i="37"/>
  <c r="H57" i="37" s="1"/>
  <c r="L33" i="37"/>
  <c r="N57" i="37" s="1"/>
  <c r="G35" i="47"/>
  <c r="H35" i="47" s="1"/>
  <c r="G36" i="47"/>
  <c r="B64" i="39"/>
  <c r="B65" i="39" s="1"/>
  <c r="B66" i="39" s="1"/>
  <c r="B57" i="37"/>
  <c r="K57" i="37" s="1"/>
  <c r="B34" i="37"/>
  <c r="A39" i="31"/>
  <c r="B40" i="31"/>
  <c r="F38" i="47" l="1"/>
  <c r="G37" i="47"/>
  <c r="E38" i="47"/>
  <c r="C64" i="39"/>
  <c r="C65" i="39"/>
  <c r="C66" i="39" s="1"/>
  <c r="C11" i="21" s="1"/>
  <c r="G6" i="38" s="1"/>
  <c r="I34" i="37"/>
  <c r="H58" i="37" s="1"/>
  <c r="L34" i="37"/>
  <c r="N58" i="37" s="1"/>
  <c r="H36" i="47"/>
  <c r="B58" i="37"/>
  <c r="K58" i="37" s="1"/>
  <c r="B35" i="37"/>
  <c r="A40" i="31"/>
  <c r="H37" i="47" l="1"/>
  <c r="H38" i="47" s="1"/>
  <c r="G38" i="47"/>
  <c r="I35" i="37"/>
  <c r="H59" i="37" s="1"/>
  <c r="L35" i="37"/>
  <c r="N59" i="37" s="1"/>
  <c r="B59" i="37"/>
  <c r="K59" i="37" s="1"/>
  <c r="C30" i="22" l="1"/>
  <c r="C29" i="22"/>
  <c r="C28" i="22"/>
  <c r="C27" i="22"/>
  <c r="C22" i="22"/>
  <c r="C25" i="22"/>
  <c r="C23" i="22"/>
  <c r="C24" i="22"/>
  <c r="C5" i="22"/>
  <c r="C15" i="22"/>
  <c r="E33" i="22"/>
  <c r="E32" i="22"/>
  <c r="E25" i="22"/>
  <c r="E22" i="22"/>
  <c r="E19" i="22"/>
  <c r="G19" i="22" s="1"/>
  <c r="E24" i="22"/>
  <c r="E23" i="22"/>
  <c r="E28" i="22"/>
  <c r="E16" i="22"/>
  <c r="E30" i="22"/>
  <c r="E27" i="22"/>
  <c r="E21" i="22"/>
  <c r="E17" i="22"/>
  <c r="E20" i="22"/>
  <c r="E29" i="22"/>
  <c r="E18" i="22"/>
  <c r="E15" i="22"/>
  <c r="G17" i="22" l="1"/>
  <c r="G29" i="22"/>
  <c r="G18" i="22"/>
  <c r="G14" i="22"/>
  <c r="G22" i="22"/>
  <c r="G30" i="22"/>
  <c r="G33" i="22"/>
  <c r="G35" i="22"/>
  <c r="G25" i="22"/>
  <c r="G15" i="22"/>
  <c r="G24" i="22"/>
  <c r="G27" i="22"/>
  <c r="G20" i="22"/>
  <c r="G32" i="22"/>
  <c r="G16" i="22"/>
  <c r="G23" i="22"/>
  <c r="G28" i="22"/>
  <c r="G31" i="22"/>
  <c r="G11" i="22"/>
  <c r="G21" i="22"/>
  <c r="A34" i="12"/>
  <c r="A33" i="12"/>
  <c r="A32" i="12"/>
  <c r="A31" i="12"/>
  <c r="A30" i="12"/>
  <c r="A29" i="12"/>
  <c r="A28" i="12"/>
  <c r="A27" i="12"/>
  <c r="A26" i="12"/>
  <c r="A25" i="12"/>
  <c r="A24" i="12"/>
  <c r="A23" i="12"/>
  <c r="A22" i="12"/>
  <c r="A21" i="12"/>
  <c r="A20" i="12"/>
  <c r="A19" i="12"/>
  <c r="A18" i="12"/>
  <c r="A17" i="12"/>
  <c r="A16" i="12"/>
  <c r="H9" i="22" l="1"/>
  <c r="C8" i="22"/>
  <c r="H11" i="22" l="1"/>
  <c r="D23" i="22"/>
  <c r="F13" i="22"/>
  <c r="F11" i="22"/>
  <c r="D12" i="22"/>
  <c r="F12" i="22"/>
  <c r="D13" i="22"/>
  <c r="D19" i="22"/>
  <c r="D31" i="22"/>
  <c r="D17" i="22"/>
  <c r="D11" i="22"/>
  <c r="D16" i="22"/>
  <c r="F35" i="22"/>
  <c r="D18" i="22"/>
  <c r="D33" i="22"/>
  <c r="D21" i="22"/>
  <c r="F31" i="22"/>
  <c r="D32" i="22"/>
  <c r="D35" i="22"/>
  <c r="D20" i="22"/>
  <c r="F14" i="22"/>
  <c r="F19" i="22"/>
  <c r="D15" i="22"/>
  <c r="F29" i="22"/>
  <c r="F17" i="22"/>
  <c r="F15" i="22"/>
  <c r="F32" i="22"/>
  <c r="F23" i="22"/>
  <c r="F20" i="22"/>
  <c r="F33" i="22"/>
  <c r="F21" i="22"/>
  <c r="D25" i="22"/>
  <c r="F18" i="22"/>
  <c r="D24" i="22"/>
  <c r="F28" i="22"/>
  <c r="D29" i="22"/>
  <c r="D22" i="22"/>
  <c r="F27" i="22"/>
  <c r="F30" i="22"/>
  <c r="D27" i="22"/>
  <c r="D28" i="22"/>
  <c r="F22" i="22"/>
  <c r="F16" i="22"/>
  <c r="D30" i="22"/>
  <c r="F25" i="22"/>
  <c r="F24" i="22"/>
  <c r="D14" i="22"/>
  <c r="H13" i="22"/>
  <c r="H12" i="22"/>
  <c r="H31" i="22"/>
  <c r="H32" i="22"/>
  <c r="H33" i="22"/>
  <c r="H14" i="22"/>
  <c r="H20" i="22"/>
  <c r="H25" i="22"/>
  <c r="H30" i="22"/>
  <c r="H16" i="22"/>
  <c r="H21" i="22"/>
  <c r="H26" i="22"/>
  <c r="H35" i="22" s="1"/>
  <c r="H17" i="22"/>
  <c r="H22" i="22"/>
  <c r="H28" i="22"/>
  <c r="H18" i="22"/>
  <c r="H24" i="22"/>
  <c r="H29" i="22"/>
  <c r="H23" i="22"/>
  <c r="H19" i="22"/>
  <c r="H15" i="22"/>
  <c r="H27" i="22"/>
  <c r="B8" i="12"/>
  <c r="E19" i="13"/>
  <c r="D18" i="13"/>
  <c r="C15" i="21" l="1"/>
  <c r="G28" i="38" s="1"/>
  <c r="C6" i="20" l="1"/>
  <c r="C5" i="20" l="1"/>
  <c r="J24" i="20" s="1"/>
  <c r="B26" i="20" l="1"/>
  <c r="B27" i="20" s="1"/>
  <c r="A27" i="20" l="1"/>
  <c r="A26" i="20"/>
  <c r="B28" i="20"/>
  <c r="A28" i="20" l="1"/>
  <c r="B29" i="20"/>
  <c r="A29" i="20" l="1"/>
  <c r="B30" i="20"/>
  <c r="A30" i="20" l="1"/>
  <c r="B31" i="20"/>
  <c r="C10" i="13"/>
  <c r="F19" i="13" l="1"/>
  <c r="A31" i="20"/>
  <c r="B32" i="20"/>
  <c r="B7" i="12"/>
  <c r="D12" i="12" l="1"/>
  <c r="D21" i="12"/>
  <c r="D29" i="12"/>
  <c r="D30" i="12"/>
  <c r="D23" i="12"/>
  <c r="D32" i="12"/>
  <c r="D25" i="12"/>
  <c r="D33" i="12"/>
  <c r="D27" i="12"/>
  <c r="D22" i="12"/>
  <c r="D31" i="12"/>
  <c r="D24" i="12"/>
  <c r="D34" i="12"/>
  <c r="D26" i="12"/>
  <c r="D28" i="12"/>
  <c r="D20" i="12"/>
  <c r="A32" i="20"/>
  <c r="B33" i="20"/>
  <c r="A33" i="20" l="1"/>
  <c r="B34" i="20"/>
  <c r="A34" i="20" l="1"/>
  <c r="B35" i="20"/>
  <c r="A35" i="20" l="1"/>
  <c r="B36" i="20"/>
  <c r="B11" i="1"/>
  <c r="A36" i="20" l="1"/>
  <c r="B37" i="20"/>
  <c r="B12" i="1"/>
  <c r="A37" i="20" l="1"/>
  <c r="B38" i="20"/>
  <c r="A38" i="20" l="1"/>
  <c r="B39" i="20"/>
  <c r="A39" i="20" l="1"/>
  <c r="B40" i="20"/>
  <c r="A40" i="20" l="1"/>
  <c r="B41" i="20"/>
  <c r="A41" i="20" l="1"/>
  <c r="B42" i="20"/>
  <c r="A42" i="20" l="1"/>
  <c r="B43" i="20"/>
  <c r="A43" i="20" l="1"/>
  <c r="B22" i="1" l="1"/>
  <c r="A22" i="1" l="1"/>
  <c r="B23" i="1"/>
  <c r="A23" i="1" l="1"/>
  <c r="B24" i="1"/>
  <c r="A24" i="1" l="1"/>
  <c r="B25" i="1"/>
  <c r="A25" i="1" l="1"/>
  <c r="B26" i="1"/>
  <c r="A26" i="1" l="1"/>
  <c r="B27" i="1"/>
  <c r="A27" i="1" l="1"/>
  <c r="B28" i="1"/>
  <c r="A28" i="1" l="1"/>
  <c r="B29" i="1"/>
  <c r="A29" i="1" l="1"/>
  <c r="B30" i="1"/>
  <c r="A30" i="1" l="1"/>
  <c r="B31" i="1"/>
  <c r="A31" i="1" l="1"/>
  <c r="B32" i="1"/>
  <c r="A32" i="1" l="1"/>
  <c r="B33" i="1"/>
  <c r="A33" i="1" l="1"/>
  <c r="B34" i="1"/>
  <c r="A34" i="1" l="1"/>
  <c r="B35" i="1"/>
  <c r="A35" i="1" l="1"/>
  <c r="B36" i="1"/>
  <c r="A36" i="1" l="1"/>
  <c r="C9" i="29" l="1"/>
  <c r="B8" i="43" l="1"/>
  <c r="C7" i="20"/>
  <c r="C10" i="29"/>
  <c r="D9" i="29"/>
  <c r="E9" i="29" s="1"/>
  <c r="C11" i="42"/>
  <c r="C14" i="44"/>
  <c r="C18" i="44" s="1"/>
  <c r="D18" i="44" s="1"/>
  <c r="C25" i="20" l="1"/>
  <c r="G25" i="20"/>
  <c r="G26" i="20" s="1"/>
  <c r="G27" i="20" s="1"/>
  <c r="G28" i="20" s="1"/>
  <c r="G29" i="20" s="1"/>
  <c r="G30" i="20" s="1"/>
  <c r="G31" i="20" s="1"/>
  <c r="G32" i="20" s="1"/>
  <c r="G33" i="20" s="1"/>
  <c r="G34" i="20" s="1"/>
  <c r="G35" i="20" s="1"/>
  <c r="G36" i="20" s="1"/>
  <c r="G37" i="20" s="1"/>
  <c r="G38" i="20" s="1"/>
  <c r="G39" i="20" s="1"/>
  <c r="G40" i="20" s="1"/>
  <c r="G41" i="20" s="1"/>
  <c r="G42" i="20" s="1"/>
  <c r="G43" i="20" s="1"/>
  <c r="G44" i="20" s="1"/>
  <c r="E25" i="20"/>
  <c r="E26" i="20" s="1"/>
  <c r="E27" i="20" s="1"/>
  <c r="E28" i="20" s="1"/>
  <c r="E29" i="20" s="1"/>
  <c r="E30" i="20" s="1"/>
  <c r="E31" i="20" s="1"/>
  <c r="E32" i="20" s="1"/>
  <c r="E18" i="44"/>
  <c r="F25" i="20"/>
  <c r="F26" i="20" s="1"/>
  <c r="F27" i="20" s="1"/>
  <c r="F28" i="20" s="1"/>
  <c r="F29" i="20" s="1"/>
  <c r="F30" i="20" s="1"/>
  <c r="F31" i="20" s="1"/>
  <c r="F32" i="20" s="1"/>
  <c r="F33" i="20" s="1"/>
  <c r="F34" i="20" s="1"/>
  <c r="F35" i="20" s="1"/>
  <c r="F36" i="20" s="1"/>
  <c r="F37" i="20" s="1"/>
  <c r="F38" i="20" s="1"/>
  <c r="F39" i="20" s="1"/>
  <c r="F40" i="20" s="1"/>
  <c r="F41" i="20" s="1"/>
  <c r="F42" i="20" s="1"/>
  <c r="F43" i="20" s="1"/>
  <c r="F44" i="20" s="1"/>
  <c r="D25" i="20"/>
  <c r="H25" i="20"/>
  <c r="H26" i="20" s="1"/>
  <c r="H27" i="20" s="1"/>
  <c r="H28" i="20" s="1"/>
  <c r="H29" i="20" s="1"/>
  <c r="H30" i="20" s="1"/>
  <c r="H31" i="20" s="1"/>
  <c r="H32" i="20" s="1"/>
  <c r="H33" i="20" s="1"/>
  <c r="H34" i="20" s="1"/>
  <c r="H35" i="20" s="1"/>
  <c r="H36" i="20" s="1"/>
  <c r="H37" i="20" s="1"/>
  <c r="H38" i="20" s="1"/>
  <c r="H39" i="20" s="1"/>
  <c r="H40" i="20" s="1"/>
  <c r="H41" i="20" s="1"/>
  <c r="H42" i="20" s="1"/>
  <c r="H43" i="20" s="1"/>
  <c r="H44" i="20" s="1"/>
  <c r="C50" i="43"/>
  <c r="D50" i="43" s="1"/>
  <c r="D10" i="29"/>
  <c r="E10" i="29" s="1"/>
  <c r="C11" i="29"/>
  <c r="I25" i="20" l="1"/>
  <c r="E33" i="20"/>
  <c r="E34" i="20" s="1"/>
  <c r="E35" i="20" s="1"/>
  <c r="E36" i="20" s="1"/>
  <c r="E37" i="20" s="1"/>
  <c r="E38" i="20" s="1"/>
  <c r="E39" i="20" s="1"/>
  <c r="E40" i="20" s="1"/>
  <c r="E41" i="20" s="1"/>
  <c r="E42" i="20" s="1"/>
  <c r="E43" i="20" s="1"/>
  <c r="E44" i="20" s="1"/>
  <c r="D26" i="20"/>
  <c r="D27" i="20" s="1"/>
  <c r="D28" i="20" s="1"/>
  <c r="D29" i="20" s="1"/>
  <c r="D30" i="20" s="1"/>
  <c r="D31" i="20" s="1"/>
  <c r="D32" i="20" s="1"/>
  <c r="D33" i="20" s="1"/>
  <c r="D34" i="20" s="1"/>
  <c r="D35" i="20" s="1"/>
  <c r="D36" i="20" s="1"/>
  <c r="D37" i="20" s="1"/>
  <c r="D38" i="20" s="1"/>
  <c r="D39" i="20" s="1"/>
  <c r="D40" i="20" s="1"/>
  <c r="D41" i="20" s="1"/>
  <c r="D42" i="20" s="1"/>
  <c r="D43" i="20" s="1"/>
  <c r="D44" i="20" s="1"/>
  <c r="D24" i="43"/>
  <c r="E24" i="43" s="1"/>
  <c r="C19" i="44"/>
  <c r="D19" i="44" s="1"/>
  <c r="C26" i="20"/>
  <c r="C12" i="29"/>
  <c r="D11" i="29"/>
  <c r="E11" i="29" s="1"/>
  <c r="E50" i="43"/>
  <c r="C51" i="43"/>
  <c r="D51" i="43" s="1"/>
  <c r="E19" i="44" l="1"/>
  <c r="D25" i="43"/>
  <c r="E25" i="43" s="1"/>
  <c r="C20" i="44"/>
  <c r="J25" i="20"/>
  <c r="C27" i="20"/>
  <c r="I26" i="20"/>
  <c r="J26" i="20" s="1"/>
  <c r="E51" i="43"/>
  <c r="C52" i="43"/>
  <c r="D52" i="43" s="1"/>
  <c r="D12" i="29"/>
  <c r="E12" i="29" s="1"/>
  <c r="C13" i="29"/>
  <c r="D26" i="43" l="1"/>
  <c r="E26" i="43" s="1"/>
  <c r="D20" i="44"/>
  <c r="C21" i="44"/>
  <c r="C28" i="20"/>
  <c r="I27" i="20"/>
  <c r="J27" i="20" s="1"/>
  <c r="D13" i="29"/>
  <c r="E13" i="29" s="1"/>
  <c r="C14" i="29"/>
  <c r="C53" i="43"/>
  <c r="D53" i="43" s="1"/>
  <c r="E52" i="43"/>
  <c r="E20" i="44" l="1"/>
  <c r="D27" i="43"/>
  <c r="E27" i="43" s="1"/>
  <c r="C22" i="44"/>
  <c r="D21" i="44"/>
  <c r="E21" i="44" s="1"/>
  <c r="C29" i="20"/>
  <c r="I28" i="20"/>
  <c r="J28" i="20" s="1"/>
  <c r="C54" i="43"/>
  <c r="D54" i="43" s="1"/>
  <c r="E53" i="43"/>
  <c r="D14" i="29"/>
  <c r="E14" i="29" s="1"/>
  <c r="C15" i="29"/>
  <c r="D28" i="43" l="1"/>
  <c r="E28" i="43" s="1"/>
  <c r="C23" i="44"/>
  <c r="D22" i="44"/>
  <c r="E22" i="44" s="1"/>
  <c r="C30" i="20"/>
  <c r="I29" i="20"/>
  <c r="J29" i="20" s="1"/>
  <c r="C55" i="43"/>
  <c r="D55" i="43" s="1"/>
  <c r="E54" i="43"/>
  <c r="C16" i="29"/>
  <c r="C21" i="31" s="1"/>
  <c r="D21" i="31" s="1"/>
  <c r="D15" i="29"/>
  <c r="E15" i="29" s="1"/>
  <c r="J21" i="31" l="1"/>
  <c r="G21" i="31"/>
  <c r="D29" i="43"/>
  <c r="E29" i="43" s="1"/>
  <c r="D23" i="44"/>
  <c r="E23" i="44" s="1"/>
  <c r="C24" i="44"/>
  <c r="C31" i="20"/>
  <c r="I30" i="20"/>
  <c r="J30" i="20" s="1"/>
  <c r="D16" i="29"/>
  <c r="I17" i="1" s="1"/>
  <c r="J17" i="1" s="1"/>
  <c r="K17" i="1" s="1"/>
  <c r="C17" i="29"/>
  <c r="C56" i="43"/>
  <c r="D56" i="43" s="1"/>
  <c r="E55" i="43"/>
  <c r="L17" i="1" l="1"/>
  <c r="H21" i="31"/>
  <c r="C40" i="37"/>
  <c r="O17" i="1"/>
  <c r="D40" i="37"/>
  <c r="K21" i="31"/>
  <c r="D30" i="43"/>
  <c r="E30" i="43" s="1"/>
  <c r="F19" i="49"/>
  <c r="G19" i="49" s="1"/>
  <c r="C22" i="31"/>
  <c r="D22" i="31" s="1"/>
  <c r="D20" i="49"/>
  <c r="E20" i="49" s="1"/>
  <c r="C25" i="44"/>
  <c r="D24" i="44"/>
  <c r="E24" i="44" s="1"/>
  <c r="C32" i="20"/>
  <c r="I31" i="20"/>
  <c r="J31" i="20" s="1"/>
  <c r="E16" i="29"/>
  <c r="C17" i="1" s="1"/>
  <c r="C57" i="43"/>
  <c r="D57" i="43" s="1"/>
  <c r="E56" i="43"/>
  <c r="D17" i="29"/>
  <c r="I18" i="1" s="1"/>
  <c r="J18" i="1" s="1"/>
  <c r="C18" i="29"/>
  <c r="E17" i="1" l="1"/>
  <c r="H19" i="49"/>
  <c r="E16" i="37"/>
  <c r="L21" i="31"/>
  <c r="P17" i="1"/>
  <c r="Q17" i="1" s="1"/>
  <c r="F40" i="37"/>
  <c r="F16" i="37"/>
  <c r="I19" i="49"/>
  <c r="D31" i="43"/>
  <c r="E31" i="43" s="1"/>
  <c r="I20" i="49"/>
  <c r="E41" i="37" s="1"/>
  <c r="C23" i="31"/>
  <c r="D23" i="31" s="1"/>
  <c r="D21" i="49"/>
  <c r="E21" i="49" s="1"/>
  <c r="F21" i="49" s="1"/>
  <c r="D25" i="44"/>
  <c r="E25" i="44" s="1"/>
  <c r="C26" i="44"/>
  <c r="C33" i="20"/>
  <c r="I32" i="20"/>
  <c r="J32" i="20" s="1"/>
  <c r="E20" i="42"/>
  <c r="F20" i="42"/>
  <c r="F41" i="37" s="1"/>
  <c r="E17" i="29"/>
  <c r="O18" i="1"/>
  <c r="C41" i="37"/>
  <c r="C58" i="43"/>
  <c r="D58" i="43" s="1"/>
  <c r="E57" i="43"/>
  <c r="E22" i="31"/>
  <c r="D18" i="29"/>
  <c r="I19" i="1" s="1"/>
  <c r="J19" i="1" s="1"/>
  <c r="C19" i="29"/>
  <c r="E40" i="37" l="1"/>
  <c r="J19" i="49"/>
  <c r="R17" i="1"/>
  <c r="F17" i="1"/>
  <c r="M40" i="37"/>
  <c r="G21" i="49"/>
  <c r="H21" i="49" s="1"/>
  <c r="E18" i="37"/>
  <c r="G40" i="37"/>
  <c r="I40" i="37" s="1"/>
  <c r="J40" i="37"/>
  <c r="L40" i="37" s="1"/>
  <c r="F22" i="31"/>
  <c r="G20" i="42"/>
  <c r="F17" i="37"/>
  <c r="G16" i="37"/>
  <c r="J20" i="49"/>
  <c r="K20" i="49" s="1"/>
  <c r="K19" i="49"/>
  <c r="D32" i="43"/>
  <c r="E32" i="43" s="1"/>
  <c r="F20" i="49"/>
  <c r="C24" i="31"/>
  <c r="D24" i="31" s="1"/>
  <c r="E24" i="31" s="1"/>
  <c r="D22" i="49"/>
  <c r="E22" i="49" s="1"/>
  <c r="D26" i="44"/>
  <c r="E26" i="44" s="1"/>
  <c r="C27" i="44"/>
  <c r="E18" i="29"/>
  <c r="C19" i="1" s="1"/>
  <c r="D19" i="1" s="1"/>
  <c r="C18" i="37" s="1"/>
  <c r="C18" i="1"/>
  <c r="D18" i="1" s="1"/>
  <c r="C34" i="20"/>
  <c r="I33" i="20"/>
  <c r="J33" i="20" s="1"/>
  <c r="H20" i="42"/>
  <c r="E21" i="42"/>
  <c r="F21" i="42"/>
  <c r="F42" i="37" s="1"/>
  <c r="I22" i="31"/>
  <c r="G22" i="31"/>
  <c r="H22" i="31" s="1"/>
  <c r="D19" i="29"/>
  <c r="I20" i="1" s="1"/>
  <c r="J20" i="1" s="1"/>
  <c r="C20" i="29"/>
  <c r="C42" i="37"/>
  <c r="O19" i="1"/>
  <c r="E58" i="43"/>
  <c r="C59" i="43"/>
  <c r="D59" i="43" s="1"/>
  <c r="K18" i="1"/>
  <c r="P18" i="1"/>
  <c r="Q18" i="1" s="1"/>
  <c r="R18" i="1" s="1"/>
  <c r="E23" i="31"/>
  <c r="L18" i="1" l="1"/>
  <c r="O40" i="37"/>
  <c r="G20" i="49"/>
  <c r="H20" i="49" s="1"/>
  <c r="E17" i="37"/>
  <c r="F23" i="31"/>
  <c r="L19" i="49"/>
  <c r="K16" i="37"/>
  <c r="H16" i="37"/>
  <c r="J16" i="37" s="1"/>
  <c r="C17" i="37"/>
  <c r="G17" i="37" s="1"/>
  <c r="H17" i="37" s="1"/>
  <c r="J17" i="37" s="1"/>
  <c r="O17" i="37" s="1"/>
  <c r="G21" i="42"/>
  <c r="F18" i="37"/>
  <c r="J22" i="31"/>
  <c r="K22" i="31" s="1"/>
  <c r="D41" i="37"/>
  <c r="L20" i="49"/>
  <c r="I21" i="49"/>
  <c r="E42" i="37" s="1"/>
  <c r="D33" i="43"/>
  <c r="E33" i="43" s="1"/>
  <c r="I22" i="49"/>
  <c r="E43" i="37" s="1"/>
  <c r="C25" i="31"/>
  <c r="D25" i="31" s="1"/>
  <c r="D23" i="49"/>
  <c r="E23" i="49" s="1"/>
  <c r="C28" i="44"/>
  <c r="D27" i="44"/>
  <c r="E27" i="44" s="1"/>
  <c r="E18" i="1"/>
  <c r="E19" i="1"/>
  <c r="F19" i="1" s="1"/>
  <c r="I20" i="42"/>
  <c r="C35" i="20"/>
  <c r="I34" i="20"/>
  <c r="J34" i="20" s="1"/>
  <c r="E22" i="42"/>
  <c r="F22" i="42"/>
  <c r="F43" i="37" s="1"/>
  <c r="H21" i="42"/>
  <c r="I23" i="31"/>
  <c r="G23" i="31"/>
  <c r="H23" i="31" s="1"/>
  <c r="F24" i="31"/>
  <c r="D20" i="29"/>
  <c r="I21" i="1" s="1"/>
  <c r="J21" i="1" s="1"/>
  <c r="C21" i="29"/>
  <c r="E19" i="29"/>
  <c r="O20" i="1"/>
  <c r="C43" i="37"/>
  <c r="C60" i="43"/>
  <c r="D60" i="43" s="1"/>
  <c r="E59" i="43"/>
  <c r="P19" i="1"/>
  <c r="Q19" i="1" s="1"/>
  <c r="R19" i="1" s="1"/>
  <c r="K19" i="1"/>
  <c r="L19" i="1" s="1"/>
  <c r="J20" i="42" l="1"/>
  <c r="F18" i="1"/>
  <c r="M16" i="37"/>
  <c r="N16" i="37" s="1"/>
  <c r="G18" i="37"/>
  <c r="H18" i="37" s="1"/>
  <c r="J41" i="37"/>
  <c r="G41" i="37"/>
  <c r="M41" i="37"/>
  <c r="O16" i="37"/>
  <c r="L22" i="31"/>
  <c r="G24" i="31"/>
  <c r="K17" i="37"/>
  <c r="M17" i="37" s="1"/>
  <c r="N17" i="37" s="1"/>
  <c r="P17" i="37" s="1"/>
  <c r="K18" i="37"/>
  <c r="M18" i="37" s="1"/>
  <c r="N18" i="37" s="1"/>
  <c r="G22" i="42"/>
  <c r="F19" i="37"/>
  <c r="J23" i="31"/>
  <c r="K23" i="31" s="1"/>
  <c r="D42" i="37"/>
  <c r="J21" i="49"/>
  <c r="K21" i="49" s="1"/>
  <c r="J22" i="49"/>
  <c r="K22" i="49" s="1"/>
  <c r="D34" i="43"/>
  <c r="E34" i="43" s="1"/>
  <c r="I23" i="49"/>
  <c r="F22" i="49"/>
  <c r="C26" i="31"/>
  <c r="D26" i="31" s="1"/>
  <c r="D24" i="49"/>
  <c r="E24" i="49" s="1"/>
  <c r="C29" i="44"/>
  <c r="D28" i="44"/>
  <c r="E28" i="44" s="1"/>
  <c r="I21" i="42"/>
  <c r="J21" i="42" s="1"/>
  <c r="C20" i="1"/>
  <c r="D20" i="1" s="1"/>
  <c r="C36" i="20"/>
  <c r="I35" i="20"/>
  <c r="J35" i="20" s="1"/>
  <c r="H22" i="42"/>
  <c r="E20" i="29"/>
  <c r="F23" i="42"/>
  <c r="E23" i="42"/>
  <c r="I24" i="31"/>
  <c r="P20" i="1"/>
  <c r="Q20" i="1" s="1"/>
  <c r="R20" i="1" s="1"/>
  <c r="K20" i="1"/>
  <c r="L20" i="1" s="1"/>
  <c r="E25" i="31"/>
  <c r="Q40" i="37"/>
  <c r="P40" i="37"/>
  <c r="C22" i="29"/>
  <c r="D21" i="29"/>
  <c r="I22" i="1" s="1"/>
  <c r="J22" i="1" s="1"/>
  <c r="C61" i="43"/>
  <c r="D61" i="43" s="1"/>
  <c r="E60" i="43"/>
  <c r="O21" i="1"/>
  <c r="P16" i="37" l="1"/>
  <c r="J18" i="37"/>
  <c r="O18" i="37" s="1"/>
  <c r="P18" i="37" s="1"/>
  <c r="J23" i="49"/>
  <c r="K23" i="49" s="1"/>
  <c r="E44" i="37"/>
  <c r="G22" i="49"/>
  <c r="H22" i="49" s="1"/>
  <c r="E19" i="37"/>
  <c r="F25" i="31"/>
  <c r="G25" i="31" s="1"/>
  <c r="H25" i="31" s="1"/>
  <c r="G42" i="37"/>
  <c r="M42" i="37"/>
  <c r="J42" i="37"/>
  <c r="L21" i="49"/>
  <c r="C44" i="37"/>
  <c r="K21" i="1"/>
  <c r="L21" i="1" s="1"/>
  <c r="L23" i="31"/>
  <c r="G23" i="42"/>
  <c r="F20" i="37"/>
  <c r="H23" i="42"/>
  <c r="F44" i="37"/>
  <c r="E20" i="1"/>
  <c r="C19" i="37"/>
  <c r="J24" i="31"/>
  <c r="K24" i="31" s="1"/>
  <c r="D43" i="37"/>
  <c r="F23" i="49"/>
  <c r="D35" i="43"/>
  <c r="E35" i="43" s="1"/>
  <c r="I24" i="49"/>
  <c r="E45" i="37" s="1"/>
  <c r="C27" i="31"/>
  <c r="D27" i="31" s="1"/>
  <c r="D25" i="49"/>
  <c r="E25" i="49" s="1"/>
  <c r="D29" i="44"/>
  <c r="E29" i="44" s="1"/>
  <c r="C30" i="44"/>
  <c r="I22" i="42"/>
  <c r="J22" i="42" s="1"/>
  <c r="C21" i="1"/>
  <c r="D21" i="1" s="1"/>
  <c r="C20" i="37" s="1"/>
  <c r="E21" i="29"/>
  <c r="C37" i="20"/>
  <c r="I36" i="20"/>
  <c r="J36" i="20" s="1"/>
  <c r="E24" i="42"/>
  <c r="F24" i="42"/>
  <c r="F45" i="37" s="1"/>
  <c r="I25" i="31"/>
  <c r="C23" i="29"/>
  <c r="D22" i="29"/>
  <c r="I23" i="1" s="1"/>
  <c r="J23" i="1" s="1"/>
  <c r="H24" i="31"/>
  <c r="E26" i="31"/>
  <c r="L41" i="37"/>
  <c r="I41" i="37"/>
  <c r="O41" i="37"/>
  <c r="P41" i="37" s="1"/>
  <c r="E61" i="43"/>
  <c r="C62" i="43"/>
  <c r="D62" i="43" s="1"/>
  <c r="P21" i="1"/>
  <c r="O22" i="1"/>
  <c r="C45" i="37"/>
  <c r="L22" i="49" l="1"/>
  <c r="F20" i="1"/>
  <c r="G23" i="49"/>
  <c r="H23" i="49" s="1"/>
  <c r="E20" i="37"/>
  <c r="G19" i="37"/>
  <c r="H19" i="37" s="1"/>
  <c r="J19" i="37" s="1"/>
  <c r="O19" i="37" s="1"/>
  <c r="F26" i="31"/>
  <c r="G26" i="31" s="1"/>
  <c r="H26" i="31" s="1"/>
  <c r="Q41" i="37"/>
  <c r="G43" i="37"/>
  <c r="J43" i="37"/>
  <c r="M43" i="37"/>
  <c r="G20" i="37"/>
  <c r="I23" i="42"/>
  <c r="J23" i="42" s="1"/>
  <c r="Q21" i="1"/>
  <c r="L23" i="49"/>
  <c r="G24" i="42"/>
  <c r="F21" i="37"/>
  <c r="J24" i="49"/>
  <c r="K24" i="49" s="1"/>
  <c r="L24" i="31"/>
  <c r="J25" i="31"/>
  <c r="K25" i="31" s="1"/>
  <c r="D44" i="37"/>
  <c r="F24" i="49"/>
  <c r="D36" i="43"/>
  <c r="E36" i="43" s="1"/>
  <c r="I25" i="49"/>
  <c r="E46" i="37" s="1"/>
  <c r="C28" i="31"/>
  <c r="D28" i="31" s="1"/>
  <c r="D26" i="49"/>
  <c r="E26" i="49" s="1"/>
  <c r="C31" i="44"/>
  <c r="D30" i="44"/>
  <c r="E30" i="44" s="1"/>
  <c r="C22" i="1"/>
  <c r="D22" i="1" s="1"/>
  <c r="C21" i="37" s="1"/>
  <c r="E21" i="1"/>
  <c r="F21" i="1" s="1"/>
  <c r="C38" i="20"/>
  <c r="I37" i="20"/>
  <c r="J37" i="20" s="1"/>
  <c r="H24" i="42"/>
  <c r="E25" i="42"/>
  <c r="F25" i="42"/>
  <c r="F46" i="37" s="1"/>
  <c r="I26" i="31"/>
  <c r="R40" i="37"/>
  <c r="O23" i="1"/>
  <c r="C46" i="37"/>
  <c r="E22" i="29"/>
  <c r="D23" i="29"/>
  <c r="I24" i="1" s="1"/>
  <c r="J24" i="1" s="1"/>
  <c r="C24" i="29"/>
  <c r="L42" i="37"/>
  <c r="I42" i="37"/>
  <c r="O42" i="37"/>
  <c r="P42" i="37" s="1"/>
  <c r="E27" i="31"/>
  <c r="P22" i="1"/>
  <c r="Q22" i="1" s="1"/>
  <c r="R22" i="1" s="1"/>
  <c r="K22" i="1"/>
  <c r="E62" i="43"/>
  <c r="C63" i="43"/>
  <c r="D63" i="43" s="1"/>
  <c r="R21" i="1" l="1"/>
  <c r="L22" i="1"/>
  <c r="K19" i="37"/>
  <c r="G24" i="49"/>
  <c r="H24" i="49" s="1"/>
  <c r="E21" i="37"/>
  <c r="G44" i="37"/>
  <c r="M44" i="37"/>
  <c r="J44" i="37"/>
  <c r="Q42" i="37"/>
  <c r="F27" i="31"/>
  <c r="G27" i="31" s="1"/>
  <c r="M19" i="37"/>
  <c r="N19" i="37" s="1"/>
  <c r="G21" i="37"/>
  <c r="L24" i="49"/>
  <c r="L25" i="31"/>
  <c r="G25" i="42"/>
  <c r="F22" i="37"/>
  <c r="J26" i="31"/>
  <c r="K26" i="31" s="1"/>
  <c r="D45" i="37"/>
  <c r="J25" i="49"/>
  <c r="K25" i="49" s="1"/>
  <c r="F25" i="49"/>
  <c r="D37" i="43"/>
  <c r="E37" i="43" s="1"/>
  <c r="F26" i="49"/>
  <c r="C29" i="31"/>
  <c r="D29" i="31" s="1"/>
  <c r="D27" i="49"/>
  <c r="E27" i="49" s="1"/>
  <c r="D31" i="44"/>
  <c r="E31" i="44" s="1"/>
  <c r="C32" i="44"/>
  <c r="I24" i="42"/>
  <c r="J24" i="42" s="1"/>
  <c r="C23" i="1"/>
  <c r="D23" i="1" s="1"/>
  <c r="H20" i="37"/>
  <c r="J20" i="37" s="1"/>
  <c r="O20" i="37" s="1"/>
  <c r="K20" i="37"/>
  <c r="M20" i="37" s="1"/>
  <c r="N20" i="37" s="1"/>
  <c r="E22" i="1"/>
  <c r="F22" i="1" s="1"/>
  <c r="I38" i="20"/>
  <c r="J38" i="20" s="1"/>
  <c r="C39" i="20"/>
  <c r="E26" i="42"/>
  <c r="F26" i="42"/>
  <c r="R41" i="37"/>
  <c r="H25" i="42"/>
  <c r="I27" i="31"/>
  <c r="E23" i="29"/>
  <c r="C64" i="43"/>
  <c r="D64" i="43" s="1"/>
  <c r="E63" i="43"/>
  <c r="E28" i="31"/>
  <c r="P23" i="1"/>
  <c r="Q23" i="1" s="1"/>
  <c r="R23" i="1" s="1"/>
  <c r="K23" i="1"/>
  <c r="L23" i="1" s="1"/>
  <c r="D24" i="29"/>
  <c r="I25" i="1" s="1"/>
  <c r="J25" i="1" s="1"/>
  <c r="C25" i="29"/>
  <c r="C30" i="31" s="1"/>
  <c r="L43" i="37"/>
  <c r="O43" i="37"/>
  <c r="P43" i="37" s="1"/>
  <c r="I43" i="37"/>
  <c r="O24" i="1"/>
  <c r="C47" i="37"/>
  <c r="P19" i="37" l="1"/>
  <c r="G26" i="49"/>
  <c r="H26" i="49" s="1"/>
  <c r="E23" i="37"/>
  <c r="G25" i="49"/>
  <c r="H25" i="49" s="1"/>
  <c r="L25" i="49" s="1"/>
  <c r="E22" i="37"/>
  <c r="G45" i="37"/>
  <c r="J45" i="37"/>
  <c r="M45" i="37"/>
  <c r="Q43" i="37"/>
  <c r="F28" i="31"/>
  <c r="G28" i="31" s="1"/>
  <c r="H28" i="31" s="1"/>
  <c r="L26" i="31"/>
  <c r="E23" i="1"/>
  <c r="F23" i="1" s="1"/>
  <c r="C22" i="37"/>
  <c r="G26" i="42"/>
  <c r="F23" i="37"/>
  <c r="H26" i="42"/>
  <c r="F47" i="37"/>
  <c r="J27" i="31"/>
  <c r="K27" i="31" s="1"/>
  <c r="D46" i="37"/>
  <c r="D38" i="43"/>
  <c r="E38" i="43" s="1"/>
  <c r="I26" i="49"/>
  <c r="E47" i="37" s="1"/>
  <c r="F27" i="49"/>
  <c r="P20" i="37"/>
  <c r="D30" i="31"/>
  <c r="D28" i="49"/>
  <c r="E28" i="49" s="1"/>
  <c r="C33" i="44"/>
  <c r="D32" i="44"/>
  <c r="E32" i="44" s="1"/>
  <c r="I25" i="42"/>
  <c r="J25" i="42" s="1"/>
  <c r="C24" i="1"/>
  <c r="D24" i="1" s="1"/>
  <c r="C23" i="37" s="1"/>
  <c r="K21" i="37"/>
  <c r="M21" i="37" s="1"/>
  <c r="N21" i="37" s="1"/>
  <c r="H21" i="37"/>
  <c r="J21" i="37" s="1"/>
  <c r="O21" i="37" s="1"/>
  <c r="I39" i="20"/>
  <c r="J39" i="20" s="1"/>
  <c r="C40" i="20"/>
  <c r="E27" i="42"/>
  <c r="F27" i="42"/>
  <c r="I28" i="31"/>
  <c r="R42" i="37"/>
  <c r="O25" i="1"/>
  <c r="C48" i="37"/>
  <c r="H27" i="31"/>
  <c r="P24" i="1"/>
  <c r="Q24" i="1" s="1"/>
  <c r="R24" i="1" s="1"/>
  <c r="K24" i="1"/>
  <c r="L24" i="1" s="1"/>
  <c r="E29" i="31"/>
  <c r="D25" i="29"/>
  <c r="I26" i="1" s="1"/>
  <c r="J26" i="1" s="1"/>
  <c r="C26" i="29"/>
  <c r="E24" i="29"/>
  <c r="C65" i="43"/>
  <c r="D65" i="43" s="1"/>
  <c r="E64" i="43"/>
  <c r="I44" i="37"/>
  <c r="L44" i="37"/>
  <c r="O44" i="37"/>
  <c r="P44" i="37" s="1"/>
  <c r="G22" i="37" l="1"/>
  <c r="G27" i="49"/>
  <c r="H27" i="49" s="1"/>
  <c r="E24" i="37"/>
  <c r="G23" i="37"/>
  <c r="M46" i="37"/>
  <c r="J46" i="37"/>
  <c r="G46" i="37"/>
  <c r="Q44" i="37"/>
  <c r="F29" i="31"/>
  <c r="G29" i="31" s="1"/>
  <c r="H29" i="31" s="1"/>
  <c r="I26" i="42"/>
  <c r="J26" i="42" s="1"/>
  <c r="H27" i="42"/>
  <c r="F48" i="37"/>
  <c r="G27" i="42"/>
  <c r="F24" i="37"/>
  <c r="J26" i="49"/>
  <c r="K26" i="49" s="1"/>
  <c r="L26" i="49" s="1"/>
  <c r="J28" i="31"/>
  <c r="K28" i="31" s="1"/>
  <c r="D47" i="37"/>
  <c r="D39" i="43"/>
  <c r="E39" i="43" s="1"/>
  <c r="I27" i="49"/>
  <c r="E48" i="37" s="1"/>
  <c r="F28" i="49"/>
  <c r="C31" i="31"/>
  <c r="D31" i="31" s="1"/>
  <c r="D29" i="49"/>
  <c r="E29" i="49" s="1"/>
  <c r="L27" i="31"/>
  <c r="C34" i="44"/>
  <c r="D33" i="44"/>
  <c r="E33" i="44" s="1"/>
  <c r="P21" i="37"/>
  <c r="C25" i="1"/>
  <c r="D25" i="1" s="1"/>
  <c r="C24" i="37" s="1"/>
  <c r="E24" i="1"/>
  <c r="F24" i="1" s="1"/>
  <c r="I40" i="20"/>
  <c r="J40" i="20" s="1"/>
  <c r="C41" i="20"/>
  <c r="F28" i="42"/>
  <c r="E28" i="42"/>
  <c r="R43" i="37"/>
  <c r="I29" i="31"/>
  <c r="E65" i="43"/>
  <c r="C66" i="43"/>
  <c r="D66" i="43" s="1"/>
  <c r="E30" i="31"/>
  <c r="K25" i="1"/>
  <c r="L25" i="1" s="1"/>
  <c r="P25" i="1"/>
  <c r="Q25" i="1" s="1"/>
  <c r="R25" i="1" s="1"/>
  <c r="C27" i="29"/>
  <c r="D26" i="29"/>
  <c r="I27" i="1" s="1"/>
  <c r="J27" i="1" s="1"/>
  <c r="E25" i="29"/>
  <c r="C49" i="37"/>
  <c r="O26" i="1"/>
  <c r="I45" i="37"/>
  <c r="L45" i="37"/>
  <c r="O45" i="37"/>
  <c r="P45" i="37" s="1"/>
  <c r="K22" i="37" l="1"/>
  <c r="H22" i="37"/>
  <c r="J22" i="37" s="1"/>
  <c r="O22" i="37" s="1"/>
  <c r="G28" i="49"/>
  <c r="H28" i="49" s="1"/>
  <c r="E25" i="37"/>
  <c r="Q45" i="37"/>
  <c r="G47" i="37"/>
  <c r="M47" i="37"/>
  <c r="J47" i="37"/>
  <c r="F30" i="31"/>
  <c r="G30" i="31" s="1"/>
  <c r="H30" i="31" s="1"/>
  <c r="G24" i="37"/>
  <c r="H24" i="37" s="1"/>
  <c r="J24" i="37" s="1"/>
  <c r="O24" i="37" s="1"/>
  <c r="I27" i="42"/>
  <c r="J27" i="42" s="1"/>
  <c r="L28" i="31"/>
  <c r="G28" i="42"/>
  <c r="F25" i="37"/>
  <c r="H28" i="42"/>
  <c r="F49" i="37"/>
  <c r="J27" i="49"/>
  <c r="K27" i="49" s="1"/>
  <c r="L27" i="49" s="1"/>
  <c r="J29" i="31"/>
  <c r="K29" i="31" s="1"/>
  <c r="D48" i="37"/>
  <c r="E25" i="1"/>
  <c r="F25" i="1" s="1"/>
  <c r="I28" i="49"/>
  <c r="E49" i="37" s="1"/>
  <c r="D40" i="43"/>
  <c r="E40" i="43" s="1"/>
  <c r="F29" i="49"/>
  <c r="C32" i="31"/>
  <c r="D32" i="31" s="1"/>
  <c r="D30" i="49"/>
  <c r="E30" i="49" s="1"/>
  <c r="D34" i="44"/>
  <c r="E34" i="44" s="1"/>
  <c r="C35" i="44"/>
  <c r="C26" i="1"/>
  <c r="D26" i="1" s="1"/>
  <c r="C25" i="37" s="1"/>
  <c r="K23" i="37"/>
  <c r="H23" i="37"/>
  <c r="J23" i="37" s="1"/>
  <c r="O23" i="37" s="1"/>
  <c r="C42" i="20"/>
  <c r="I41" i="20"/>
  <c r="J41" i="20" s="1"/>
  <c r="E29" i="42"/>
  <c r="F29" i="42"/>
  <c r="R44" i="37"/>
  <c r="I30" i="31"/>
  <c r="L46" i="37"/>
  <c r="I46" i="37"/>
  <c r="O46" i="37"/>
  <c r="P46" i="37" s="1"/>
  <c r="E66" i="43"/>
  <c r="C67" i="43"/>
  <c r="D67" i="43" s="1"/>
  <c r="E31" i="31"/>
  <c r="P26" i="1"/>
  <c r="Q26" i="1" s="1"/>
  <c r="R26" i="1" s="1"/>
  <c r="K26" i="1"/>
  <c r="L26" i="1" s="1"/>
  <c r="O27" i="1"/>
  <c r="C50" i="37"/>
  <c r="E26" i="29"/>
  <c r="D27" i="29"/>
  <c r="I28" i="1" s="1"/>
  <c r="J28" i="1" s="1"/>
  <c r="C28" i="29"/>
  <c r="M22" i="37" l="1"/>
  <c r="N22" i="37" s="1"/>
  <c r="P22" i="37" s="1"/>
  <c r="G29" i="49"/>
  <c r="H29" i="49" s="1"/>
  <c r="E26" i="37"/>
  <c r="I28" i="42"/>
  <c r="J28" i="42" s="1"/>
  <c r="M48" i="37"/>
  <c r="J48" i="37"/>
  <c r="G48" i="37"/>
  <c r="F31" i="31"/>
  <c r="G31" i="31" s="1"/>
  <c r="H31" i="31" s="1"/>
  <c r="Q46" i="37"/>
  <c r="K24" i="37"/>
  <c r="M24" i="37" s="1"/>
  <c r="N24" i="37" s="1"/>
  <c r="P24" i="37" s="1"/>
  <c r="M23" i="37"/>
  <c r="N23" i="37" s="1"/>
  <c r="P23" i="37" s="1"/>
  <c r="G25" i="37"/>
  <c r="K25" i="37" s="1"/>
  <c r="M25" i="37" s="1"/>
  <c r="N25" i="37" s="1"/>
  <c r="L29" i="31"/>
  <c r="H29" i="42"/>
  <c r="F50" i="37"/>
  <c r="G29" i="42"/>
  <c r="F26" i="37"/>
  <c r="J28" i="49"/>
  <c r="K28" i="49" s="1"/>
  <c r="L28" i="49" s="1"/>
  <c r="J30" i="31"/>
  <c r="K30" i="31" s="1"/>
  <c r="D49" i="37"/>
  <c r="I29" i="49"/>
  <c r="E50" i="37" s="1"/>
  <c r="D41" i="43"/>
  <c r="E41" i="43" s="1"/>
  <c r="D42" i="43"/>
  <c r="E42" i="43" s="1"/>
  <c r="F30" i="49"/>
  <c r="C33" i="31"/>
  <c r="D33" i="31" s="1"/>
  <c r="D31" i="49"/>
  <c r="E31" i="49" s="1"/>
  <c r="C36" i="44"/>
  <c r="D35" i="44"/>
  <c r="E35" i="44" s="1"/>
  <c r="E26" i="1"/>
  <c r="F26" i="1" s="1"/>
  <c r="C27" i="1"/>
  <c r="D27" i="1" s="1"/>
  <c r="C26" i="37" s="1"/>
  <c r="C43" i="20"/>
  <c r="C44" i="20" s="1"/>
  <c r="I44" i="20" s="1"/>
  <c r="J44" i="20" s="1"/>
  <c r="I42" i="20"/>
  <c r="J42" i="20" s="1"/>
  <c r="E30" i="42"/>
  <c r="F30" i="42"/>
  <c r="F51" i="37" s="1"/>
  <c r="E27" i="29"/>
  <c r="I31" i="31"/>
  <c r="R45" i="37"/>
  <c r="C51" i="37"/>
  <c r="O28" i="1"/>
  <c r="O47" i="37"/>
  <c r="P47" i="37" s="1"/>
  <c r="L47" i="37"/>
  <c r="I47" i="37"/>
  <c r="E32" i="31"/>
  <c r="P27" i="1"/>
  <c r="Q27" i="1" s="1"/>
  <c r="R27" i="1" s="1"/>
  <c r="K27" i="1"/>
  <c r="L27" i="1" s="1"/>
  <c r="C68" i="43"/>
  <c r="C69" i="43" s="1"/>
  <c r="D69" i="43" s="1"/>
  <c r="E69" i="43" s="1"/>
  <c r="E67" i="43"/>
  <c r="D28" i="29"/>
  <c r="I29" i="1" s="1"/>
  <c r="J29" i="1" s="1"/>
  <c r="C29" i="29"/>
  <c r="D43" i="43" l="1"/>
  <c r="E43" i="43" s="1"/>
  <c r="E44" i="43" s="1"/>
  <c r="C44" i="43"/>
  <c r="G30" i="49"/>
  <c r="H30" i="49" s="1"/>
  <c r="E27" i="37"/>
  <c r="H25" i="37"/>
  <c r="J25" i="37" s="1"/>
  <c r="O25" i="37" s="1"/>
  <c r="P25" i="37" s="1"/>
  <c r="Q47" i="37"/>
  <c r="D68" i="43"/>
  <c r="E68" i="43" s="1"/>
  <c r="E70" i="43" s="1"/>
  <c r="F32" i="31"/>
  <c r="G32" i="31" s="1"/>
  <c r="H32" i="31" s="1"/>
  <c r="J49" i="37"/>
  <c r="G49" i="37"/>
  <c r="M49" i="37"/>
  <c r="G26" i="37"/>
  <c r="H26" i="37" s="1"/>
  <c r="J26" i="37" s="1"/>
  <c r="O26" i="37" s="1"/>
  <c r="L30" i="31"/>
  <c r="I29" i="42"/>
  <c r="J29" i="42" s="1"/>
  <c r="G30" i="42"/>
  <c r="F27" i="37"/>
  <c r="J29" i="49"/>
  <c r="K29" i="49" s="1"/>
  <c r="L29" i="49" s="1"/>
  <c r="J31" i="31"/>
  <c r="K31" i="31" s="1"/>
  <c r="D50" i="37"/>
  <c r="I30" i="49"/>
  <c r="E51" i="37" s="1"/>
  <c r="I31" i="49"/>
  <c r="E52" i="37" s="1"/>
  <c r="C34" i="31"/>
  <c r="D34" i="31" s="1"/>
  <c r="D32" i="49"/>
  <c r="E32" i="49" s="1"/>
  <c r="C37" i="44"/>
  <c r="D36" i="44"/>
  <c r="E27" i="1"/>
  <c r="F27" i="1" s="1"/>
  <c r="C28" i="1"/>
  <c r="D28" i="1" s="1"/>
  <c r="C27" i="37" s="1"/>
  <c r="E28" i="29"/>
  <c r="I43" i="20"/>
  <c r="I45" i="20" s="1"/>
  <c r="E31" i="42"/>
  <c r="F31" i="42"/>
  <c r="H30" i="42"/>
  <c r="R46" i="37"/>
  <c r="I32" i="31"/>
  <c r="O48" i="37"/>
  <c r="P48" i="37" s="1"/>
  <c r="I48" i="37"/>
  <c r="L48" i="37"/>
  <c r="E33" i="31"/>
  <c r="D29" i="29"/>
  <c r="I30" i="1" s="1"/>
  <c r="J30" i="1" s="1"/>
  <c r="C30" i="29"/>
  <c r="O29" i="1"/>
  <c r="C52" i="37"/>
  <c r="K28" i="1"/>
  <c r="L28" i="1" s="1"/>
  <c r="P28" i="1"/>
  <c r="Q28" i="1" s="1"/>
  <c r="R28" i="1" s="1"/>
  <c r="D37" i="44" l="1"/>
  <c r="E37" i="44" s="1"/>
  <c r="C38" i="44"/>
  <c r="D38" i="44" s="1"/>
  <c r="Q48" i="37"/>
  <c r="C34" i="21"/>
  <c r="C35" i="21" s="1"/>
  <c r="F33" i="31"/>
  <c r="G33" i="31" s="1"/>
  <c r="H33" i="31" s="1"/>
  <c r="J50" i="37"/>
  <c r="G50" i="37"/>
  <c r="M50" i="37"/>
  <c r="K26" i="37"/>
  <c r="M26" i="37" s="1"/>
  <c r="N26" i="37" s="1"/>
  <c r="P26" i="37" s="1"/>
  <c r="G27" i="37"/>
  <c r="L31" i="31"/>
  <c r="H31" i="42"/>
  <c r="F52" i="37"/>
  <c r="G31" i="42"/>
  <c r="F28" i="37"/>
  <c r="J30" i="49"/>
  <c r="K30" i="49" s="1"/>
  <c r="L30" i="49" s="1"/>
  <c r="J32" i="31"/>
  <c r="K32" i="31" s="1"/>
  <c r="D51" i="37"/>
  <c r="J31" i="49"/>
  <c r="K31" i="49" s="1"/>
  <c r="F31" i="49"/>
  <c r="F32" i="49"/>
  <c r="C35" i="31"/>
  <c r="D35" i="31" s="1"/>
  <c r="D33" i="49"/>
  <c r="E33" i="49" s="1"/>
  <c r="E36" i="44"/>
  <c r="I30" i="42"/>
  <c r="J30" i="42" s="1"/>
  <c r="C29" i="1"/>
  <c r="D29" i="1" s="1"/>
  <c r="C28" i="37" s="1"/>
  <c r="E28" i="1"/>
  <c r="F28" i="1" s="1"/>
  <c r="J43" i="20"/>
  <c r="E32" i="42"/>
  <c r="F32" i="42"/>
  <c r="F53" i="37" s="1"/>
  <c r="I33" i="31"/>
  <c r="R47" i="37"/>
  <c r="E29" i="29"/>
  <c r="C31" i="29"/>
  <c r="D30" i="29"/>
  <c r="I31" i="1" s="1"/>
  <c r="J31" i="1" s="1"/>
  <c r="O49" i="37"/>
  <c r="P49" i="37" s="1"/>
  <c r="I49" i="37"/>
  <c r="L49" i="37"/>
  <c r="O30" i="1"/>
  <c r="C53" i="37"/>
  <c r="K29" i="1"/>
  <c r="L29" i="1" s="1"/>
  <c r="P29" i="1"/>
  <c r="Q29" i="1" s="1"/>
  <c r="R29" i="1" s="1"/>
  <c r="E34" i="31"/>
  <c r="E38" i="44" l="1"/>
  <c r="E39" i="44" s="1"/>
  <c r="C25" i="21" s="1"/>
  <c r="G16" i="38" s="1"/>
  <c r="D39" i="44"/>
  <c r="J45" i="20"/>
  <c r="G32" i="49"/>
  <c r="H32" i="49" s="1"/>
  <c r="E29" i="37"/>
  <c r="G31" i="49"/>
  <c r="H31" i="49" s="1"/>
  <c r="L31" i="49" s="1"/>
  <c r="E28" i="37"/>
  <c r="G28" i="37" s="1"/>
  <c r="I31" i="42"/>
  <c r="J31" i="42" s="1"/>
  <c r="Q49" i="37"/>
  <c r="G25" i="38"/>
  <c r="G51" i="37"/>
  <c r="M51" i="37"/>
  <c r="J51" i="37"/>
  <c r="F34" i="31"/>
  <c r="G34" i="31" s="1"/>
  <c r="H34" i="31" s="1"/>
  <c r="L32" i="31"/>
  <c r="G32" i="42"/>
  <c r="F29" i="37"/>
  <c r="J33" i="31"/>
  <c r="K33" i="31" s="1"/>
  <c r="D52" i="37"/>
  <c r="I32" i="49"/>
  <c r="E53" i="37" s="1"/>
  <c r="F33" i="49"/>
  <c r="C36" i="31"/>
  <c r="D36" i="31" s="1"/>
  <c r="D34" i="49"/>
  <c r="E34" i="49" s="1"/>
  <c r="K27" i="37"/>
  <c r="M27" i="37" s="1"/>
  <c r="N27" i="37" s="1"/>
  <c r="H27" i="37"/>
  <c r="J27" i="37" s="1"/>
  <c r="O27" i="37" s="1"/>
  <c r="C30" i="1"/>
  <c r="D30" i="1" s="1"/>
  <c r="E29" i="1"/>
  <c r="F29" i="1" s="1"/>
  <c r="E33" i="42"/>
  <c r="F33" i="42"/>
  <c r="H32" i="42"/>
  <c r="I34" i="31"/>
  <c r="R48" i="37"/>
  <c r="P30" i="1"/>
  <c r="Q30" i="1" s="1"/>
  <c r="R30" i="1" s="1"/>
  <c r="K30" i="1"/>
  <c r="L30" i="1" s="1"/>
  <c r="I50" i="37"/>
  <c r="L50" i="37"/>
  <c r="O50" i="37"/>
  <c r="P50" i="37" s="1"/>
  <c r="D31" i="29"/>
  <c r="I32" i="1" s="1"/>
  <c r="J32" i="1" s="1"/>
  <c r="C32" i="29"/>
  <c r="E35" i="31"/>
  <c r="C54" i="37"/>
  <c r="O31" i="1"/>
  <c r="E30" i="29"/>
  <c r="G33" i="49" l="1"/>
  <c r="H33" i="49" s="1"/>
  <c r="E30" i="37"/>
  <c r="C37" i="31"/>
  <c r="D37" i="31" s="1"/>
  <c r="Q50" i="37"/>
  <c r="G52" i="37"/>
  <c r="M52" i="37"/>
  <c r="J52" i="37"/>
  <c r="F35" i="31"/>
  <c r="G35" i="31" s="1"/>
  <c r="H35" i="31" s="1"/>
  <c r="I32" i="42"/>
  <c r="J32" i="42" s="1"/>
  <c r="L33" i="31"/>
  <c r="H33" i="42"/>
  <c r="F54" i="37"/>
  <c r="C29" i="37"/>
  <c r="G29" i="37" s="1"/>
  <c r="H29" i="37" s="1"/>
  <c r="J29" i="37" s="1"/>
  <c r="O29" i="37" s="1"/>
  <c r="G33" i="42"/>
  <c r="F30" i="37"/>
  <c r="J34" i="31"/>
  <c r="K34" i="31" s="1"/>
  <c r="D53" i="37"/>
  <c r="J32" i="49"/>
  <c r="K32" i="49" s="1"/>
  <c r="L32" i="49" s="1"/>
  <c r="I33" i="49"/>
  <c r="E54" i="37" s="1"/>
  <c r="I34" i="49"/>
  <c r="E55" i="37" s="1"/>
  <c r="C31" i="1"/>
  <c r="D31" i="1" s="1"/>
  <c r="E30" i="1"/>
  <c r="F30" i="1" s="1"/>
  <c r="H28" i="37"/>
  <c r="J28" i="37" s="1"/>
  <c r="O28" i="37" s="1"/>
  <c r="K28" i="37"/>
  <c r="M28" i="37" s="1"/>
  <c r="N28" i="37" s="1"/>
  <c r="P27" i="37"/>
  <c r="E34" i="42"/>
  <c r="F34" i="42"/>
  <c r="I35" i="31"/>
  <c r="R49" i="37"/>
  <c r="E31" i="29"/>
  <c r="E36" i="31"/>
  <c r="L51" i="37"/>
  <c r="I51" i="37"/>
  <c r="O51" i="37"/>
  <c r="P51" i="37" s="1"/>
  <c r="P31" i="1"/>
  <c r="Q31" i="1" s="1"/>
  <c r="R31" i="1" s="1"/>
  <c r="K31" i="1"/>
  <c r="L31" i="1" s="1"/>
  <c r="D32" i="29"/>
  <c r="I33" i="1" s="1"/>
  <c r="J33" i="1" s="1"/>
  <c r="O32" i="1"/>
  <c r="C55" i="37"/>
  <c r="I33" i="42" l="1"/>
  <c r="J33" i="42" s="1"/>
  <c r="Q51" i="37"/>
  <c r="G53" i="37"/>
  <c r="J53" i="37"/>
  <c r="M53" i="37"/>
  <c r="F36" i="31"/>
  <c r="G36" i="31" s="1"/>
  <c r="H36" i="31" s="1"/>
  <c r="L34" i="31"/>
  <c r="K29" i="37"/>
  <c r="M29" i="37" s="1"/>
  <c r="N29" i="37" s="1"/>
  <c r="P29" i="37" s="1"/>
  <c r="E31" i="1"/>
  <c r="F31" i="1" s="1"/>
  <c r="C30" i="37"/>
  <c r="G30" i="37" s="1"/>
  <c r="H30" i="37" s="1"/>
  <c r="J30" i="37" s="1"/>
  <c r="O30" i="37" s="1"/>
  <c r="G34" i="42"/>
  <c r="F31" i="37"/>
  <c r="H34" i="42"/>
  <c r="F55" i="37"/>
  <c r="J35" i="31"/>
  <c r="K35" i="31" s="1"/>
  <c r="D54" i="37"/>
  <c r="J34" i="49"/>
  <c r="K34" i="49" s="1"/>
  <c r="J33" i="49"/>
  <c r="K33" i="49" s="1"/>
  <c r="L33" i="49" s="1"/>
  <c r="F34" i="49"/>
  <c r="C38" i="31"/>
  <c r="D38" i="31" s="1"/>
  <c r="D36" i="49"/>
  <c r="E36" i="49" s="1"/>
  <c r="C32" i="1"/>
  <c r="D32" i="1" s="1"/>
  <c r="C31" i="37" s="1"/>
  <c r="R50" i="37"/>
  <c r="P28" i="37"/>
  <c r="E32" i="29"/>
  <c r="E35" i="42"/>
  <c r="F35" i="42"/>
  <c r="I36" i="31"/>
  <c r="O33" i="1"/>
  <c r="C56" i="37"/>
  <c r="I34" i="1"/>
  <c r="J34" i="1" s="1"/>
  <c r="K32" i="1"/>
  <c r="L32" i="1" s="1"/>
  <c r="P32" i="1"/>
  <c r="Q32" i="1" s="1"/>
  <c r="R32" i="1" s="1"/>
  <c r="E37" i="31"/>
  <c r="I52" i="37"/>
  <c r="L52" i="37"/>
  <c r="O52" i="37"/>
  <c r="P52" i="37" s="1"/>
  <c r="G34" i="49" l="1"/>
  <c r="H34" i="49" s="1"/>
  <c r="E31" i="37"/>
  <c r="Q52" i="37"/>
  <c r="F37" i="31"/>
  <c r="G37" i="31" s="1"/>
  <c r="H37" i="31" s="1"/>
  <c r="G54" i="37"/>
  <c r="M54" i="37"/>
  <c r="J54" i="37"/>
  <c r="I34" i="42"/>
  <c r="J34" i="42" s="1"/>
  <c r="K30" i="37"/>
  <c r="M30" i="37" s="1"/>
  <c r="N30" i="37" s="1"/>
  <c r="P30" i="37" s="1"/>
  <c r="G31" i="37"/>
  <c r="L35" i="31"/>
  <c r="L34" i="49"/>
  <c r="G35" i="42"/>
  <c r="F32" i="37"/>
  <c r="H35" i="42"/>
  <c r="F56" i="37"/>
  <c r="J36" i="31"/>
  <c r="K36" i="31" s="1"/>
  <c r="D55" i="37"/>
  <c r="I36" i="49"/>
  <c r="E57" i="37" s="1"/>
  <c r="C39" i="31"/>
  <c r="D39" i="31" s="1"/>
  <c r="D37" i="49"/>
  <c r="E37" i="49" s="1"/>
  <c r="C33" i="1"/>
  <c r="D33" i="1" s="1"/>
  <c r="C32" i="37" s="1"/>
  <c r="E32" i="1"/>
  <c r="F32" i="1" s="1"/>
  <c r="F36" i="42"/>
  <c r="E36" i="42"/>
  <c r="I37" i="31"/>
  <c r="R51" i="37"/>
  <c r="O34" i="1"/>
  <c r="C57" i="37"/>
  <c r="I53" i="37"/>
  <c r="O53" i="37"/>
  <c r="P53" i="37" s="1"/>
  <c r="L53" i="37"/>
  <c r="E38" i="31"/>
  <c r="K33" i="1"/>
  <c r="L33" i="1" s="1"/>
  <c r="P33" i="1"/>
  <c r="Q33" i="1" s="1"/>
  <c r="R33" i="1" s="1"/>
  <c r="D34" i="29"/>
  <c r="I35" i="1" s="1"/>
  <c r="J35" i="1" s="1"/>
  <c r="C35" i="29"/>
  <c r="F38" i="31" l="1"/>
  <c r="G38" i="31" s="1"/>
  <c r="H38" i="31" s="1"/>
  <c r="Q53" i="37"/>
  <c r="M55" i="37"/>
  <c r="J55" i="37"/>
  <c r="G55" i="37"/>
  <c r="I35" i="42"/>
  <c r="J35" i="42" s="1"/>
  <c r="L36" i="31"/>
  <c r="H36" i="42"/>
  <c r="F57" i="37"/>
  <c r="G36" i="42"/>
  <c r="F33" i="37"/>
  <c r="J37" i="31"/>
  <c r="K37" i="31" s="1"/>
  <c r="D56" i="37"/>
  <c r="J36" i="49"/>
  <c r="K36" i="49" s="1"/>
  <c r="F36" i="49"/>
  <c r="I37" i="49"/>
  <c r="E58" i="37" s="1"/>
  <c r="C40" i="31"/>
  <c r="D40" i="31" s="1"/>
  <c r="D38" i="49"/>
  <c r="E38" i="49" s="1"/>
  <c r="K31" i="37"/>
  <c r="M31" i="37" s="1"/>
  <c r="N31" i="37" s="1"/>
  <c r="H31" i="37"/>
  <c r="J31" i="37" s="1"/>
  <c r="O31" i="37" s="1"/>
  <c r="C34" i="1"/>
  <c r="D34" i="1" s="1"/>
  <c r="C33" i="37" s="1"/>
  <c r="E33" i="1"/>
  <c r="F33" i="1" s="1"/>
  <c r="R52" i="37"/>
  <c r="E37" i="42"/>
  <c r="F37" i="42"/>
  <c r="I38" i="31"/>
  <c r="E34" i="29"/>
  <c r="C36" i="29"/>
  <c r="C41" i="31" s="1"/>
  <c r="D41" i="31" s="1"/>
  <c r="E41" i="31" s="1"/>
  <c r="D35" i="29"/>
  <c r="I36" i="1" s="1"/>
  <c r="J36" i="1" s="1"/>
  <c r="E39" i="31"/>
  <c r="I54" i="37"/>
  <c r="O54" i="37"/>
  <c r="P54" i="37" s="1"/>
  <c r="L54" i="37"/>
  <c r="C58" i="37"/>
  <c r="O35" i="1"/>
  <c r="P34" i="1"/>
  <c r="Q34" i="1" s="1"/>
  <c r="R34" i="1" s="1"/>
  <c r="K34" i="1"/>
  <c r="L34" i="1" s="1"/>
  <c r="F41" i="31" l="1"/>
  <c r="I41" i="31"/>
  <c r="G36" i="49"/>
  <c r="H36" i="49" s="1"/>
  <c r="L36" i="49" s="1"/>
  <c r="E33" i="37"/>
  <c r="G33" i="37" s="1"/>
  <c r="Q54" i="37"/>
  <c r="F39" i="31"/>
  <c r="G39" i="31" s="1"/>
  <c r="H39" i="31" s="1"/>
  <c r="I36" i="42"/>
  <c r="J36" i="42" s="1"/>
  <c r="L37" i="31"/>
  <c r="G37" i="42"/>
  <c r="F34" i="37"/>
  <c r="H37" i="42"/>
  <c r="F58" i="37"/>
  <c r="J38" i="31"/>
  <c r="K38" i="31" s="1"/>
  <c r="D57" i="37"/>
  <c r="J37" i="49"/>
  <c r="K37" i="49" s="1"/>
  <c r="F37" i="49"/>
  <c r="I38" i="49"/>
  <c r="E59" i="37" s="1"/>
  <c r="E34" i="1"/>
  <c r="F34" i="1" s="1"/>
  <c r="C35" i="1"/>
  <c r="D35" i="1" s="1"/>
  <c r="P31" i="37"/>
  <c r="R53" i="37"/>
  <c r="F38" i="42"/>
  <c r="E38" i="42"/>
  <c r="I39" i="31"/>
  <c r="I55" i="37"/>
  <c r="L55" i="37"/>
  <c r="O55" i="37"/>
  <c r="P55" i="37" s="1"/>
  <c r="C59" i="37"/>
  <c r="O36" i="1"/>
  <c r="E40" i="31"/>
  <c r="D36" i="29"/>
  <c r="C37" i="29"/>
  <c r="P35" i="1"/>
  <c r="Q35" i="1" s="1"/>
  <c r="R35" i="1" s="1"/>
  <c r="K35" i="1"/>
  <c r="L35" i="1" s="1"/>
  <c r="E35" i="29"/>
  <c r="E36" i="29" l="1"/>
  <c r="C37" i="1" s="1"/>
  <c r="D37" i="1" s="1"/>
  <c r="I37" i="1"/>
  <c r="D60" i="37"/>
  <c r="J41" i="31"/>
  <c r="K41" i="31" s="1"/>
  <c r="G41" i="31"/>
  <c r="H41" i="31" s="1"/>
  <c r="G37" i="49"/>
  <c r="H37" i="49" s="1"/>
  <c r="L37" i="49" s="1"/>
  <c r="E34" i="37"/>
  <c r="Q55" i="37"/>
  <c r="F40" i="31"/>
  <c r="G40" i="31" s="1"/>
  <c r="J57" i="37"/>
  <c r="G57" i="37"/>
  <c r="M57" i="37"/>
  <c r="I37" i="42"/>
  <c r="J37" i="42" s="1"/>
  <c r="L38" i="31"/>
  <c r="E35" i="1"/>
  <c r="F35" i="1" s="1"/>
  <c r="C34" i="37"/>
  <c r="G38" i="42"/>
  <c r="F35" i="37"/>
  <c r="H38" i="42"/>
  <c r="F59" i="37"/>
  <c r="J38" i="49"/>
  <c r="K38" i="49" s="1"/>
  <c r="J39" i="31"/>
  <c r="K39" i="31" s="1"/>
  <c r="D58" i="37"/>
  <c r="F38" i="49"/>
  <c r="C36" i="1"/>
  <c r="D36" i="1" s="1"/>
  <c r="K33" i="37"/>
  <c r="M33" i="37" s="1"/>
  <c r="N33" i="37" s="1"/>
  <c r="H33" i="37"/>
  <c r="J33" i="37" s="1"/>
  <c r="O33" i="37" s="1"/>
  <c r="R54" i="37"/>
  <c r="I40" i="31"/>
  <c r="P36" i="1"/>
  <c r="Q36" i="1" s="1"/>
  <c r="R36" i="1" s="1"/>
  <c r="K36" i="1"/>
  <c r="L36" i="1" s="1"/>
  <c r="C38" i="29"/>
  <c r="D37" i="29"/>
  <c r="E37" i="29" s="1"/>
  <c r="L41" i="31" l="1"/>
  <c r="J37" i="1"/>
  <c r="O37" i="1"/>
  <c r="C36" i="37"/>
  <c r="G36" i="37" s="1"/>
  <c r="E37" i="1"/>
  <c r="F37" i="1" s="1"/>
  <c r="G38" i="49"/>
  <c r="H38" i="49" s="1"/>
  <c r="E35" i="37"/>
  <c r="G34" i="37"/>
  <c r="K34" i="37" s="1"/>
  <c r="M34" i="37" s="1"/>
  <c r="N34" i="37" s="1"/>
  <c r="G58" i="37"/>
  <c r="J58" i="37"/>
  <c r="M58" i="37"/>
  <c r="I38" i="42"/>
  <c r="I40" i="42" s="1"/>
  <c r="L39" i="31"/>
  <c r="E36" i="1"/>
  <c r="F36" i="1" s="1"/>
  <c r="C35" i="37"/>
  <c r="J40" i="31"/>
  <c r="K40" i="31" s="1"/>
  <c r="K43" i="31" s="1"/>
  <c r="D59" i="37"/>
  <c r="L38" i="49"/>
  <c r="P33" i="37"/>
  <c r="C31" i="21"/>
  <c r="C32" i="21" s="1"/>
  <c r="R55" i="37"/>
  <c r="H40" i="31"/>
  <c r="H43" i="31" s="1"/>
  <c r="C39" i="29"/>
  <c r="D38" i="29"/>
  <c r="E38" i="29" s="1"/>
  <c r="L57" i="37"/>
  <c r="I57" i="37"/>
  <c r="O57" i="37"/>
  <c r="P57" i="37" s="1"/>
  <c r="F38" i="1" l="1"/>
  <c r="E38" i="1"/>
  <c r="P37" i="1"/>
  <c r="K37" i="1"/>
  <c r="C60" i="37"/>
  <c r="K36" i="37"/>
  <c r="H36" i="37"/>
  <c r="J36" i="37" s="1"/>
  <c r="O36" i="37" s="1"/>
  <c r="H34" i="37"/>
  <c r="J34" i="37" s="1"/>
  <c r="O34" i="37" s="1"/>
  <c r="P34" i="37" s="1"/>
  <c r="G35" i="37"/>
  <c r="K35" i="37" s="1"/>
  <c r="M35" i="37" s="1"/>
  <c r="N35" i="37" s="1"/>
  <c r="Q57" i="37"/>
  <c r="J38" i="42"/>
  <c r="J59" i="37"/>
  <c r="G59" i="37"/>
  <c r="M59" i="37"/>
  <c r="O59" i="37" s="1"/>
  <c r="C19" i="21"/>
  <c r="G10" i="38" s="1"/>
  <c r="G22" i="38"/>
  <c r="H35" i="37"/>
  <c r="J35" i="37" s="1"/>
  <c r="O35" i="37" s="1"/>
  <c r="L40" i="31"/>
  <c r="L43" i="31" s="1"/>
  <c r="C40" i="29"/>
  <c r="D39" i="29"/>
  <c r="E39" i="29" s="1"/>
  <c r="I58" i="37"/>
  <c r="L58" i="37"/>
  <c r="O58" i="37"/>
  <c r="P58" i="37" s="1"/>
  <c r="J40" i="42" l="1"/>
  <c r="C22" i="21" s="1"/>
  <c r="G13" i="38" s="1"/>
  <c r="J60" i="37"/>
  <c r="L60" i="37" s="1"/>
  <c r="M60" i="37"/>
  <c r="G60" i="37"/>
  <c r="I60" i="37" s="1"/>
  <c r="L37" i="1"/>
  <c r="L38" i="1" s="1"/>
  <c r="C20" i="21" s="1"/>
  <c r="G11" i="38" s="1"/>
  <c r="K38" i="1"/>
  <c r="Q37" i="1"/>
  <c r="Q38" i="1" s="1"/>
  <c r="M36" i="37"/>
  <c r="N36" i="37" s="1"/>
  <c r="Q58" i="37"/>
  <c r="P35" i="37"/>
  <c r="C23" i="21"/>
  <c r="R57" i="37"/>
  <c r="L59" i="37"/>
  <c r="I59" i="37"/>
  <c r="P59" i="37"/>
  <c r="C41" i="29"/>
  <c r="D40" i="29"/>
  <c r="E40" i="29" s="1"/>
  <c r="R37" i="1" l="1"/>
  <c r="R38" i="1" s="1"/>
  <c r="C21" i="21" s="1"/>
  <c r="G12" i="38" s="1"/>
  <c r="O60" i="37"/>
  <c r="P60" i="37" s="1"/>
  <c r="Q60" i="37"/>
  <c r="P36" i="37"/>
  <c r="Q59" i="37"/>
  <c r="G14" i="38"/>
  <c r="R58" i="37"/>
  <c r="D41" i="29"/>
  <c r="E41" i="29" s="1"/>
  <c r="C42" i="29"/>
  <c r="R60" i="37" l="1"/>
  <c r="R59" i="37"/>
  <c r="C43" i="29"/>
  <c r="D42" i="29"/>
  <c r="E42" i="29" s="1"/>
  <c r="C44" i="29" l="1"/>
  <c r="D43" i="29"/>
  <c r="E43" i="29" s="1"/>
  <c r="C45" i="29" l="1"/>
  <c r="D44" i="29"/>
  <c r="E44" i="29" s="1"/>
  <c r="C46" i="29" l="1"/>
  <c r="D45" i="29"/>
  <c r="E45" i="29" s="1"/>
  <c r="D46" i="29" l="1"/>
  <c r="E46" i="29" s="1"/>
  <c r="C47" i="29"/>
  <c r="C48" i="29" l="1"/>
  <c r="D35" i="49" s="1"/>
  <c r="E35" i="49" s="1"/>
  <c r="D47" i="29"/>
  <c r="E47" i="29" s="1"/>
  <c r="I35" i="49" l="1"/>
  <c r="E56" i="37" s="1"/>
  <c r="D48" i="29"/>
  <c r="E48" i="29" s="1"/>
  <c r="J56" i="37" l="1"/>
  <c r="G56" i="37"/>
  <c r="M56" i="37"/>
  <c r="M61" i="37" s="1"/>
  <c r="J35" i="49"/>
  <c r="K35" i="49" s="1"/>
  <c r="K41" i="49" s="1"/>
  <c r="F35" i="49"/>
  <c r="G35" i="49" l="1"/>
  <c r="H35" i="49" s="1"/>
  <c r="L35" i="49" s="1"/>
  <c r="L41" i="49" s="1"/>
  <c r="E32" i="37"/>
  <c r="G32" i="37" s="1"/>
  <c r="L56" i="37"/>
  <c r="I56" i="37"/>
  <c r="H41" i="49" l="1"/>
  <c r="C24" i="21" s="1"/>
  <c r="C26" i="21" s="1"/>
  <c r="H32" i="37"/>
  <c r="J32" i="37" s="1"/>
  <c r="O32" i="37" s="1"/>
  <c r="K32" i="37"/>
  <c r="Q56" i="37"/>
  <c r="O56" i="37"/>
  <c r="P56" i="37" s="1"/>
  <c r="P2" i="37" l="1"/>
  <c r="K37" i="37"/>
  <c r="K2" i="37"/>
  <c r="M32" i="37"/>
  <c r="N32" i="37" s="1"/>
  <c r="R56" i="37"/>
  <c r="R61" i="37" s="1"/>
  <c r="P32" i="37" l="1"/>
  <c r="O37" i="37" s="1"/>
  <c r="N2" i="37"/>
  <c r="H9" i="41"/>
  <c r="C28" i="21"/>
  <c r="G25" i="41"/>
  <c r="H25" i="41" s="1"/>
  <c r="C13" i="21"/>
  <c r="G15" i="38"/>
  <c r="G19" i="38" l="1"/>
  <c r="C29" i="21"/>
  <c r="G24" i="41"/>
  <c r="G27" i="41"/>
  <c r="H27" i="41" s="1"/>
  <c r="G26" i="41"/>
  <c r="H26" i="41" s="1"/>
  <c r="G29" i="41" l="1"/>
  <c r="H24" i="41"/>
  <c r="H29" i="41" l="1"/>
  <c r="F20" i="13"/>
  <c r="C16" i="21" s="1"/>
  <c r="I16" i="41" l="1"/>
  <c r="I17" i="41"/>
  <c r="C17" i="21"/>
  <c r="E20" i="13"/>
  <c r="I28" i="41" l="1"/>
  <c r="C19" i="12" s="1"/>
  <c r="D19" i="12" s="1"/>
  <c r="I22" i="41"/>
  <c r="C13" i="12" s="1"/>
  <c r="I23" i="41"/>
  <c r="I25" i="41"/>
  <c r="C16" i="12" s="1"/>
  <c r="D16" i="12" s="1"/>
  <c r="I26" i="41"/>
  <c r="C17" i="12" s="1"/>
  <c r="D17" i="12" s="1"/>
  <c r="I27" i="41"/>
  <c r="C18" i="12" s="1"/>
  <c r="D18" i="12" s="1"/>
  <c r="I24" i="41"/>
  <c r="G29" i="38"/>
  <c r="C15" i="12" l="1"/>
  <c r="D15" i="12" s="1"/>
  <c r="C14" i="12"/>
  <c r="D14" i="12" s="1"/>
  <c r="D13" i="12"/>
  <c r="I29" i="41"/>
  <c r="C35" i="12" l="1"/>
  <c r="D35" i="12"/>
  <c r="C6" i="21" s="1"/>
  <c r="C7" i="21" s="1"/>
  <c r="C36" i="21"/>
  <c r="C39" i="21" l="1"/>
  <c r="D23" i="21"/>
  <c r="C38" i="21"/>
  <c r="D26" i="21"/>
  <c r="D14" i="21"/>
  <c r="D13" i="21"/>
  <c r="D22" i="21"/>
  <c r="D11" i="21"/>
  <c r="D10" i="21"/>
  <c r="D34" i="21"/>
  <c r="D17" i="21"/>
  <c r="D29" i="21"/>
  <c r="D20" i="21"/>
  <c r="D12" i="21"/>
  <c r="D27" i="21"/>
  <c r="D25" i="21"/>
  <c r="D35" i="21"/>
  <c r="D30" i="21"/>
  <c r="D15" i="21"/>
  <c r="D31" i="21"/>
  <c r="D33" i="21"/>
  <c r="D28" i="21"/>
  <c r="D24" i="21"/>
  <c r="D19" i="21"/>
  <c r="D21" i="21"/>
  <c r="D16" i="21"/>
  <c r="D18" i="21"/>
  <c r="D32"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tc={A00BDFEB-732A-405F-B702-B2702A1EDD4E}</author>
  </authors>
  <commentList>
    <comment ref="B9" authorId="0" shapeId="0" xr:uid="{A00BDFEB-732A-405F-B702-B2702A1EDD4E}">
      <text>
        <t>[Threaded comment]
Your version of Excel allows you to read this threaded comment; however, any edits to it will get removed if the file is opened in a newer version of Excel. Learn more: https://go.microsoft.com/fwlink/?linkid=870924
Comment:
    Adjusted to BCA guidance cap of .86 miles for walking trips</t>
      </text>
    </comment>
  </commentList>
</comments>
</file>

<file path=xl/sharedStrings.xml><?xml version="1.0" encoding="utf-8"?>
<sst xmlns="http://schemas.openxmlformats.org/spreadsheetml/2006/main" count="6363" uniqueCount="885">
  <si>
    <t>Total Project</t>
  </si>
  <si>
    <t>Analysis Period:  (20 years)</t>
  </si>
  <si>
    <t>7% Discount Rate</t>
  </si>
  <si>
    <t>Costs (2021$M)</t>
  </si>
  <si>
    <t>Capital Cost</t>
  </si>
  <si>
    <t>Total Costs</t>
  </si>
  <si>
    <t>Benefits (2021 $M)</t>
  </si>
  <si>
    <t>Safety Benefits</t>
  </si>
  <si>
    <t>Reduced Roadway Fatalities and Crashes</t>
  </si>
  <si>
    <t>Emergency Services</t>
  </si>
  <si>
    <t>Wildlife Safety</t>
  </si>
  <si>
    <t>Sub-Total</t>
  </si>
  <si>
    <t>Economic Competitiveness</t>
  </si>
  <si>
    <t>Auto Travel Time Savings</t>
  </si>
  <si>
    <t>Truck Travel Time Savings</t>
  </si>
  <si>
    <t>Truck Operating Savings</t>
  </si>
  <si>
    <t>Signal Coordination Time Savings</t>
  </si>
  <si>
    <t>Maintenance Detour Delays Avoided</t>
  </si>
  <si>
    <t>DMS/Trailblazers Detour Delays Avoided</t>
  </si>
  <si>
    <t>Agricultural Market Accessibility Benefit</t>
  </si>
  <si>
    <t>Emission Savings</t>
  </si>
  <si>
    <t>Paratransit Travel Time Savings</t>
  </si>
  <si>
    <t>Resident and Visitor Recreation</t>
  </si>
  <si>
    <t>State of Good Repair</t>
  </si>
  <si>
    <t>Net Operating &amp; Maintenance Cost Savings</t>
  </si>
  <si>
    <t>Residual Value</t>
  </si>
  <si>
    <t>Total Benefits</t>
  </si>
  <si>
    <t>Results</t>
  </si>
  <si>
    <t>Net Present Value (2021 $M)</t>
  </si>
  <si>
    <t>Benefit-Cost Ratio</t>
  </si>
  <si>
    <t>Current Status/Baseline</t>
  </si>
  <si>
    <t>Change to Baseline</t>
  </si>
  <si>
    <t>Benefit</t>
  </si>
  <si>
    <t>Affected Population</t>
  </si>
  <si>
    <t>Economic Benefit (NPV, $2021M)</t>
  </si>
  <si>
    <t xml:space="preserve">The Project is the final phase of the Appalachian Regional Commission Corridor K between Andrews, NC and Stecoah, NC. This segment serves as an alternative route to the US 74 corridor through the Nantahala Gorge. Due to the topography of the roadway, there are very limited alternative routes in the area and any major accident along the stretch will reroute to US 74. This can cause multi-hour delays. The narrow roadway also causes longer than normal clearance times for vehicles involved in accidents and emergency service vehicles. </t>
  </si>
  <si>
    <t>This corridor segment will provide an improved system of transportation for both routine travel and emergency travel in the event of a national crisis by reducing the slope of the roadway as well as widening the road for shoulder pull-offs. The proposed project will restore the good condition of infrastructure and result in travel time savings, delays and detours avoided, emissions savings, emergency response improvements, and improved recreational access.</t>
  </si>
  <si>
    <t>All corridor users</t>
  </si>
  <si>
    <t>All regional users and non-users</t>
  </si>
  <si>
    <t>Wildlife and corridor drivers</t>
  </si>
  <si>
    <t>Corridor auto users</t>
  </si>
  <si>
    <t>Corridor truck drivers</t>
  </si>
  <si>
    <t>Corridor truck operators</t>
  </si>
  <si>
    <t>Robbinsville drivers</t>
  </si>
  <si>
    <t>All corridor and US 74 users</t>
  </si>
  <si>
    <t>Local farms</t>
  </si>
  <si>
    <t>Graham County Transit users</t>
  </si>
  <si>
    <t>AT bikers and hikers</t>
  </si>
  <si>
    <t>NCDOT and NC taxpayers</t>
  </si>
  <si>
    <t>Input</t>
  </si>
  <si>
    <t xml:space="preserve">Value </t>
  </si>
  <si>
    <t xml:space="preserve">Source </t>
  </si>
  <si>
    <t>General</t>
  </si>
  <si>
    <t xml:space="preserve">Discount Rate </t>
  </si>
  <si>
    <t xml:space="preserve">January 2023 BCA Guidance for Discretionary Grant Programs </t>
  </si>
  <si>
    <t>SCC Discount Rate - CO2</t>
  </si>
  <si>
    <t>Deflator</t>
  </si>
  <si>
    <t xml:space="preserve">See "Deflator" Sheet </t>
  </si>
  <si>
    <t>https://www.whitehouse.gov/wp-content/uploads/2022/03/hist10z1_fy2023.xlsx</t>
  </si>
  <si>
    <t xml:space="preserve">Begin Construction year </t>
  </si>
  <si>
    <t>NCDOT</t>
  </si>
  <si>
    <t xml:space="preserve">Complete Construction year </t>
  </si>
  <si>
    <t>Analysis Period</t>
  </si>
  <si>
    <t>Dollar Year</t>
  </si>
  <si>
    <t>Discount year</t>
  </si>
  <si>
    <t>Benefit Year</t>
  </si>
  <si>
    <t>Traffic Data Assumptions</t>
  </si>
  <si>
    <t>Percentage of Trucks</t>
  </si>
  <si>
    <t xml:space="preserve"> TSG Engineers; STIP Project No. A-0009C - Passing and Climbing Lane Documentation</t>
  </si>
  <si>
    <t>Annualization Factor</t>
  </si>
  <si>
    <t>Assumption</t>
  </si>
  <si>
    <t>Annualization Factor for paratransit (demand response)</t>
  </si>
  <si>
    <t>Graham County Transit</t>
  </si>
  <si>
    <t>Annual Growth Rate (CAGR)</t>
  </si>
  <si>
    <t>Average Corridor Travel Time without Project (hr)</t>
  </si>
  <si>
    <t>Average Corridor Travel Time with Project (hr)</t>
  </si>
  <si>
    <t>Average Corridor Travel Time Savings (hr per veh)</t>
  </si>
  <si>
    <t>US 74 closure per vehicle per instance (hours)</t>
  </si>
  <si>
    <t>TIMS Data</t>
  </si>
  <si>
    <t>US 74 Maintenance detour (hours)</t>
  </si>
  <si>
    <t>Google Maps</t>
  </si>
  <si>
    <t>Net Maintenance time savings (hours) per vehicle</t>
  </si>
  <si>
    <t>assumption</t>
  </si>
  <si>
    <t xml:space="preserve">US 74 closure or detours per year </t>
  </si>
  <si>
    <t>NC 143 Maintenance detour (annual frequency)</t>
  </si>
  <si>
    <t>Graham County NC 143, 5-yr Maint. Costs, NCDOT</t>
  </si>
  <si>
    <t>Average Passenger Vehicle Occupancy, all travel</t>
  </si>
  <si>
    <t>Delay savings with coordinated signals (per trip)</t>
  </si>
  <si>
    <t>Source: https://connect.ncdot.gov/resources/safety/Teppl/TEPPL%20All%20Documents%20Library/Signal%20System%20Timing%20Philosophy%20Manual.pdf</t>
  </si>
  <si>
    <t xml:space="preserve">State of Good Repair </t>
  </si>
  <si>
    <t>Highway and Streets Service Life</t>
  </si>
  <si>
    <t>BEA Rate of Depreciation, Service Lives, Declining-Balance Rates, and Hulten-Wykoff Categories</t>
  </si>
  <si>
    <t>Vehicle Maintenance Cost per Mile (Gas, Maintenance, Tires, Depreciation) (2021$/Mile) -- Light Duty Vehicles</t>
  </si>
  <si>
    <t>Value of Time (2021$), all purposes</t>
  </si>
  <si>
    <t>Value of Time, (2021$), truck driver per hour</t>
  </si>
  <si>
    <t>Truck operating costs per hour (2021$)</t>
  </si>
  <si>
    <t>Value of Time (2021$), bus driver</t>
  </si>
  <si>
    <t>Average paratransit bus passengers per month</t>
  </si>
  <si>
    <t>Graham County Transit Director (email dated 1/23/23)</t>
  </si>
  <si>
    <t>Average Annual paratransit bus passengers</t>
  </si>
  <si>
    <t> Calculation</t>
  </si>
  <si>
    <t>Average Trip Counts by month (NCDOT)</t>
  </si>
  <si>
    <t>Safety</t>
  </si>
  <si>
    <t>PDO Damage values (2021$)</t>
  </si>
  <si>
    <t>O – No Injury (2021$)</t>
  </si>
  <si>
    <t>C – Possible Injury (2021$)</t>
  </si>
  <si>
    <t>B – Non-incapacitating (2021$)</t>
  </si>
  <si>
    <t>A – Incapacitating (2021$)</t>
  </si>
  <si>
    <t>K – Killed (2021$)</t>
  </si>
  <si>
    <t>U – Injured (Severity Unknown)  (2021$)</t>
  </si>
  <si>
    <t># Accidents Reported (Unknown if Injured) (2021$)</t>
  </si>
  <si>
    <t>Injury crash (2021$)</t>
  </si>
  <si>
    <t>Fatal crash (2021$)</t>
  </si>
  <si>
    <t>Number of Annual Trail Trips in 2022 - Walking</t>
  </si>
  <si>
    <t>Extrapolated data from Appalachian Trail Conservancy</t>
  </si>
  <si>
    <t>Per Person per mile, pedestrian Improvement</t>
  </si>
  <si>
    <t>Mortality Reduction Benefits Induced Active Transportation - Walking (2021$)</t>
  </si>
  <si>
    <t>Mortality Reduction Benefits Induced Active Transportation - Cycling (2021$)</t>
  </si>
  <si>
    <t>Number of current parking spaces</t>
  </si>
  <si>
    <t>Number of added parking spaces</t>
  </si>
  <si>
    <t>Deer Hit near Wildlife Bridge - Year 2018 (annual)</t>
  </si>
  <si>
    <t>Environmental</t>
  </si>
  <si>
    <t xml:space="preserve">Light Vehicle Idle Emissions Rates (average 3.515,4.065) g/hr. NOx </t>
  </si>
  <si>
    <t>Idling Vehicle Emissions for Passenger Cars, Light-Duty Trucks, and Heavy-Duty Trucks Emission Facts, EPA420-F-08-025, October 2008</t>
  </si>
  <si>
    <t xml:space="preserve">Greenhouse Gas Emissions from a Typical Passenger Vehicle, EPA </t>
  </si>
  <si>
    <t xml:space="preserve">Heavy Duty (Class VII) Idle Emissions Rates g/hr. NOx </t>
  </si>
  <si>
    <t>Heavy Duty (Class VII) Idle Emissions Rates g/hr. PM2.5</t>
  </si>
  <si>
    <t>Capital Costs of the Project</t>
  </si>
  <si>
    <t xml:space="preserve">Construction Start </t>
  </si>
  <si>
    <t>Q4</t>
  </si>
  <si>
    <t>Construction Finish</t>
  </si>
  <si>
    <t>Discount Year</t>
  </si>
  <si>
    <t>Project Year</t>
  </si>
  <si>
    <t>Year</t>
  </si>
  <si>
    <t>Discounted at 7%</t>
  </si>
  <si>
    <t>Total</t>
  </si>
  <si>
    <t>Operations &amp; Maintenance Costs (per year)</t>
  </si>
  <si>
    <t>Full Asset Renewal-- No Build (expected 2025)</t>
  </si>
  <si>
    <t>O&amp;M Full Rehabilitation</t>
  </si>
  <si>
    <t>Lifecycle</t>
  </si>
  <si>
    <t>2022$</t>
  </si>
  <si>
    <t>2021$</t>
  </si>
  <si>
    <t>Existing Corridor (No-Build)</t>
  </si>
  <si>
    <t>Pavement Rehabilitation</t>
  </si>
  <si>
    <t>Post Construction (Build)</t>
  </si>
  <si>
    <t>Pipe/Headwall Replacement</t>
  </si>
  <si>
    <t>Annual Difference in O&amp;M Cost</t>
  </si>
  <si>
    <t>Guardrail Replacement/Upgrade</t>
  </si>
  <si>
    <t>Asset Renewal --$3M in 2022$ (Build)</t>
  </si>
  <si>
    <t>Bridge Replacement</t>
  </si>
  <si>
    <t>No Build O&amp;M</t>
  </si>
  <si>
    <t>No Build Discounted at 7%</t>
  </si>
  <si>
    <t>Build O&amp;M</t>
  </si>
  <si>
    <t>Build Discounted at 7%</t>
  </si>
  <si>
    <t>Net O&amp;M</t>
  </si>
  <si>
    <t>Safety Analysis</t>
  </si>
  <si>
    <t>The Project will add shoulders, climbing lanes, widen shoulders, and modernize the corridor</t>
  </si>
  <si>
    <t>KABCO Level</t>
  </si>
  <si>
    <t>CMFs</t>
  </si>
  <si>
    <t>Source: NCDOT (See CMFs Tab)</t>
  </si>
  <si>
    <t>Source Year</t>
  </si>
  <si>
    <t>passing lanes</t>
  </si>
  <si>
    <t>shoulder widening</t>
  </si>
  <si>
    <t>Discount Rate</t>
  </si>
  <si>
    <t>O – No Injury</t>
  </si>
  <si>
    <t>Cumulative Damage Reduction</t>
  </si>
  <si>
    <t>C – Possible Injury</t>
  </si>
  <si>
    <t>B – Non-incapacitating</t>
  </si>
  <si>
    <t>A – Incapacitating</t>
  </si>
  <si>
    <t>K – Killed</t>
  </si>
  <si>
    <t>Crash Analysis for A-0009</t>
  </si>
  <si>
    <t>U – Injured (Severity Unknown)</t>
  </si>
  <si>
    <t># Accidents Reported (Unknown if Injured)</t>
  </si>
  <si>
    <t>Annual Averages</t>
  </si>
  <si>
    <t>Crashes Saved</t>
  </si>
  <si>
    <t>County Name</t>
  </si>
  <si>
    <t>County Num</t>
  </si>
  <si>
    <t>Route</t>
  </si>
  <si>
    <t>Study Milepost Range</t>
  </si>
  <si>
    <t>Fatal (K) Crashes</t>
  </si>
  <si>
    <t>Serious (A) Crashes</t>
  </si>
  <si>
    <t>Evident (B) Crashes</t>
  </si>
  <si>
    <t>Possible (C) Crashes</t>
  </si>
  <si>
    <t xml:space="preserve">Property Damage (O) Crashes </t>
  </si>
  <si>
    <t>Unknown Inj (U) Crashes</t>
  </si>
  <si>
    <t>Total Crashes</t>
  </si>
  <si>
    <t>Annual Total Crashes</t>
  </si>
  <si>
    <t>Annual Total Crashes Saved</t>
  </si>
  <si>
    <t>Graham</t>
  </si>
  <si>
    <t>NC 143</t>
  </si>
  <si>
    <t>MP 29.644 to 38.48</t>
  </si>
  <si>
    <t>NC 28</t>
  </si>
  <si>
    <t>MP 2.025 to 9.262</t>
  </si>
  <si>
    <t>US 129</t>
  </si>
  <si>
    <t>MP 6.685 to 12.399</t>
  </si>
  <si>
    <t>Source: NCDOT Traffic Safety Division</t>
  </si>
  <si>
    <t>Crashes Avoided</t>
  </si>
  <si>
    <t>K</t>
  </si>
  <si>
    <t>A</t>
  </si>
  <si>
    <t>B</t>
  </si>
  <si>
    <t>C</t>
  </si>
  <si>
    <t>O</t>
  </si>
  <si>
    <t>U</t>
  </si>
  <si>
    <t>Wildlife Safety Analysis</t>
  </si>
  <si>
    <t>Year 1</t>
  </si>
  <si>
    <t>Deer hit near wildlife bridge</t>
  </si>
  <si>
    <t>Deer Growth Factor</t>
  </si>
  <si>
    <t>Value of Deer (2021$)</t>
  </si>
  <si>
    <t>Wild Animal BCA Worksheet (codot.gov)</t>
  </si>
  <si>
    <t>Wildlife Crossing CRF - CODOT</t>
  </si>
  <si>
    <t>Annual Deer Incidents Avoided</t>
  </si>
  <si>
    <t>Wildlife Savings - Deer Crossing</t>
  </si>
  <si>
    <t>Discounted Wildlife Savings 7%</t>
  </si>
  <si>
    <t xml:space="preserve">Total </t>
  </si>
  <si>
    <t>Travel Time Savings</t>
  </si>
  <si>
    <t>Auto and Truck users would experience travel time savings as a result of the NC 28/NC 143/US 129 Improvements (climbing lanes)</t>
  </si>
  <si>
    <t>Auto Time Savings</t>
  </si>
  <si>
    <t>Truck Driver Time Savings</t>
  </si>
  <si>
    <t>Truck Operating Cost Savings</t>
  </si>
  <si>
    <t>Auto AADT</t>
  </si>
  <si>
    <t>Annual Person Travel Time Savings (hours)</t>
  </si>
  <si>
    <t>Total Value of Auto Travel Time Savings</t>
  </si>
  <si>
    <t>Travel Time Savings (Discounted at 7%)</t>
  </si>
  <si>
    <t>Annual Truck Traffic</t>
  </si>
  <si>
    <t>Total Value of Truck Travel Time Savings</t>
  </si>
  <si>
    <t>Annual Truck Operating Time Savings (hours)</t>
  </si>
  <si>
    <t>Total Value of Truck Operating Time Savings</t>
  </si>
  <si>
    <t>Truck Operating Cost Savings (Discounted at 7%)</t>
  </si>
  <si>
    <t>TOTAL</t>
  </si>
  <si>
    <t>Delay due to Maintenance on US 143</t>
  </si>
  <si>
    <t>See 143O&amp;M tab for history of maintenance delays from NCDOT</t>
  </si>
  <si>
    <t>frequency</t>
  </si>
  <si>
    <t>Proportion of AADT Impacted</t>
  </si>
  <si>
    <t>143 Maintenance hours length (average)</t>
  </si>
  <si>
    <t>each time</t>
  </si>
  <si>
    <t>% Trucks</t>
  </si>
  <si>
    <t>Personal value of time, 2021$</t>
  </si>
  <si>
    <t>Average Auto Occupancy</t>
  </si>
  <si>
    <t>Autos</t>
  </si>
  <si>
    <t>Trucks</t>
  </si>
  <si>
    <t>Annual Vehicles</t>
  </si>
  <si>
    <t>Annual # of Impacted Vehicles</t>
  </si>
  <si>
    <t>VHT Avoided for Impacted Vehicles</t>
  </si>
  <si>
    <t>Auto Person VHT</t>
  </si>
  <si>
    <t>Total Value of   Auto Travel Time Savings</t>
  </si>
  <si>
    <t>Discounted Total Value of Time (Autos)</t>
  </si>
  <si>
    <t>Truck VHT</t>
  </si>
  <si>
    <t>Total Value of Truck Travel and Operating Time Savings</t>
  </si>
  <si>
    <t>Discounted Total Value of Truck Time</t>
  </si>
  <si>
    <t>Total Discounted Time Savings</t>
  </si>
  <si>
    <t>Delays Avoided due to Incidents on US 74 from Dynamic Messaging Signs (DMS) and Trailblazers</t>
  </si>
  <si>
    <t>Paratransit users and vehicle drivers would experience travel time savings as a result of the NC 28/NC 143/US 129 Improvements (climbing lanes)</t>
  </si>
  <si>
    <t>Annual Trip Count</t>
  </si>
  <si>
    <t>Annual Passenger Travel Time Savings (hours)</t>
  </si>
  <si>
    <t>Annual Driver Travel Time Savings (hours)</t>
  </si>
  <si>
    <t>Value of Time for Passengers</t>
  </si>
  <si>
    <t>Value of Time Bus Driver</t>
  </si>
  <si>
    <t>Total Value of Travel Time (2021$)</t>
  </si>
  <si>
    <t>Each vehicle using the intersections in Robinsville will experience time savings due to signal coordination</t>
  </si>
  <si>
    <t>Delay (min/veh)</t>
  </si>
  <si>
    <t>Fastest</t>
  </si>
  <si>
    <t>Traffic</t>
  </si>
  <si>
    <t>Delay</t>
  </si>
  <si>
    <t>ITS Benefit</t>
  </si>
  <si>
    <t>mins</t>
  </si>
  <si>
    <t>minute</t>
  </si>
  <si>
    <t>Mins/Trip</t>
  </si>
  <si>
    <t>miles</t>
  </si>
  <si>
    <t>Minutes Saved per Auto</t>
  </si>
  <si>
    <t>Hours per vehicle saved</t>
  </si>
  <si>
    <t>Car Occupancy Rate</t>
  </si>
  <si>
    <t>Portion of traffic benefiting</t>
  </si>
  <si>
    <t>Robbinsville AADT</t>
  </si>
  <si>
    <t>Annual Hours Saved</t>
  </si>
  <si>
    <t>Annual Auto Hrs Saved</t>
  </si>
  <si>
    <t xml:space="preserve">Truck Hrs Saved </t>
  </si>
  <si>
    <t>Auto VOT</t>
  </si>
  <si>
    <t>Truck VOT</t>
  </si>
  <si>
    <t>Total ITS Benefit</t>
  </si>
  <si>
    <t>Discounted ITS Benefit</t>
  </si>
  <si>
    <t>Agricultural Access Improvement</t>
  </si>
  <si>
    <t>With the route reconstructed, farms in the region are supported and marginal transportation costs are saved; tourists can also access the farms and nearby parks more reliably.</t>
  </si>
  <si>
    <t>Small farm Fuel, Machinery, labor costs (assuming local commuting farmers)</t>
  </si>
  <si>
    <t>Transportation improvement for local travel. Source (Purdue Extension: 2022 Purdue Crop Cost &amp; Return Guide; https://ag.purdue.edu/commercialag/home/resource/2022/03/2022-crop-cost-and-return-guide/)</t>
  </si>
  <si>
    <t>Number of Farms (2017)</t>
  </si>
  <si>
    <t>Average Farm Expense (2021$)</t>
  </si>
  <si>
    <t>Farms affected</t>
  </si>
  <si>
    <t>Expenses saved</t>
  </si>
  <si>
    <t>Total Expenses by County</t>
  </si>
  <si>
    <t>Source:</t>
  </si>
  <si>
    <t>County Summary, Crop and Livestock Cash Receipts by County, https://www.nass.usda.gov/Statistics_by_State/North_Carolina/Publications/Annual_Statistical_Bulletin/AgStat/Section06.pdf</t>
  </si>
  <si>
    <t>Swain</t>
  </si>
  <si>
    <t>Cherokee</t>
  </si>
  <si>
    <t xml:space="preserve">Jackson </t>
  </si>
  <si>
    <t>Macon</t>
  </si>
  <si>
    <t>CAGR</t>
  </si>
  <si>
    <t>Value of Improvement</t>
  </si>
  <si>
    <t>Net Change</t>
  </si>
  <si>
    <t>Source: https://highways.dot.gov/public-roads/summer-2019/farm-table</t>
  </si>
  <si>
    <t>Source: https://www.ams.usda.gov/sites/default/files/media/Main_Highway_Report.pdf</t>
  </si>
  <si>
    <t>The Project will allow better emergency access to the nearby counties due to improved slopes, widened lanes, and added climbing lanes.</t>
  </si>
  <si>
    <t>Source: FEMA Benefit-Cost Analysis Re-Engineering (BCAR), Development of Standard Economic Values Version 6.0, December 2011</t>
  </si>
  <si>
    <t>Annual Emergency Vehicles</t>
  </si>
  <si>
    <t>Source: NCDOT</t>
  </si>
  <si>
    <t>Assumptions</t>
  </si>
  <si>
    <t>Population Estimate</t>
  </si>
  <si>
    <t>Applicable Share</t>
  </si>
  <si>
    <t>Share of emergency calls estimated within Project area</t>
  </si>
  <si>
    <t>Graham County</t>
  </si>
  <si>
    <t>Swain County</t>
  </si>
  <si>
    <t>Emergency trips on existing roads</t>
  </si>
  <si>
    <t>Source: Foothills RPO</t>
  </si>
  <si>
    <t>1) climbing lanes time savings</t>
  </si>
  <si>
    <t>Total population</t>
  </si>
  <si>
    <t>2) signal coordination</t>
  </si>
  <si>
    <t>population served, adjusted</t>
  </si>
  <si>
    <t>FEMA methodology: FIRE</t>
  </si>
  <si>
    <t>Source: Census 2021</t>
  </si>
  <si>
    <t>i. number of incidents</t>
  </si>
  <si>
    <t>5.5 incidents per 1,000 people</t>
  </si>
  <si>
    <t>population</t>
  </si>
  <si>
    <t>FEMA methodology: EMERGENCY</t>
  </si>
  <si>
    <t>I</t>
  </si>
  <si>
    <t>a. number of cardiac arrests</t>
  </si>
  <si>
    <t>ii. Average response time before and after</t>
  </si>
  <si>
    <t>median response time 5 minutes</t>
  </si>
  <si>
    <t>RT</t>
  </si>
  <si>
    <t>cardiac arrests/year</t>
  </si>
  <si>
    <t>Rtafter</t>
  </si>
  <si>
    <t>b. average EMS response time</t>
  </si>
  <si>
    <t>iii. Probability of no loss incident</t>
  </si>
  <si>
    <t>P0 = 0.456-0.00264RT</t>
  </si>
  <si>
    <t>P0before</t>
  </si>
  <si>
    <t>P0after</t>
  </si>
  <si>
    <t>c. probability of survival before and after</t>
  </si>
  <si>
    <t>iv. Average property dollar loss per incident</t>
  </si>
  <si>
    <t>DL = 3845+431RT</t>
  </si>
  <si>
    <t>Dlbefore</t>
  </si>
  <si>
    <t>Dlafter</t>
  </si>
  <si>
    <t>d. increase in deaths</t>
  </si>
  <si>
    <t>v. increase in property dollar loss</t>
  </si>
  <si>
    <t>PL = [(1-P0after)Dlafter - (1-P0before)Dlbefore]*I</t>
  </si>
  <si>
    <t>Dbefore</t>
  </si>
  <si>
    <t>PL</t>
  </si>
  <si>
    <t>Dafter</t>
  </si>
  <si>
    <t>vi. Add indirect losses</t>
  </si>
  <si>
    <t>totalPL = PL*1.1</t>
  </si>
  <si>
    <t>Dincrease</t>
  </si>
  <si>
    <t>totalPL</t>
  </si>
  <si>
    <t>e. value lives lost</t>
  </si>
  <si>
    <t>Vlives</t>
  </si>
  <si>
    <t>viii. Update values to 2021$ from 1993$</t>
  </si>
  <si>
    <t>ix. Total loss due to fire station shutdown</t>
  </si>
  <si>
    <t>TotalLoss = totalPL</t>
  </si>
  <si>
    <t>TotalLoss</t>
  </si>
  <si>
    <t>travel time for climbing lanes, shoulders, and signal coordination</t>
  </si>
  <si>
    <t>Fire + EMS Loss (FEMA)</t>
  </si>
  <si>
    <t>Idling Emissions Savings</t>
  </si>
  <si>
    <t>SSC Discount Rate</t>
  </si>
  <si>
    <t>Light Vehicle Idle Emissions Rates g/hr. NOx</t>
  </si>
  <si>
    <t xml:space="preserve">Conversion - g/metric ton </t>
  </si>
  <si>
    <t>Slope TTS Auto VHT Avoided</t>
  </si>
  <si>
    <t>Maint Delay Auto VHT Avoided</t>
  </si>
  <si>
    <t xml:space="preserve">DMS Delay Auto VHT Avoided </t>
  </si>
  <si>
    <t>Signal Coordination Auto VHT</t>
  </si>
  <si>
    <t>Total Auto VHT Avoided</t>
  </si>
  <si>
    <t>NOx (MT)</t>
  </si>
  <si>
    <t>Value of NOx/metric ton</t>
  </si>
  <si>
    <t>NOx Savings (2021$)</t>
  </si>
  <si>
    <t>CO2 (MT)</t>
  </si>
  <si>
    <t>Value of CO2/metric ton (2021$)</t>
  </si>
  <si>
    <t>CO2 Savings (2021$)</t>
  </si>
  <si>
    <t>Discounted Emissions 3%</t>
  </si>
  <si>
    <t>Discounted Emissions 7%</t>
  </si>
  <si>
    <t>Discounted Total</t>
  </si>
  <si>
    <t>Slope TTS Truck VHT Avoided</t>
  </si>
  <si>
    <t>Maint Delay Truck VHT Avoided</t>
  </si>
  <si>
    <t xml:space="preserve">DMS Delay Truck VHT Avoided </t>
  </si>
  <si>
    <t>Signal Coordination Truck VHT Avoided</t>
  </si>
  <si>
    <t>PM2.5 (MT)</t>
  </si>
  <si>
    <t>Value of PM2.5/ metric ton</t>
  </si>
  <si>
    <t>PM 2.5 Savings (2021$)</t>
  </si>
  <si>
    <t xml:space="preserve"> </t>
  </si>
  <si>
    <t>Pedestrian Improvements</t>
  </si>
  <si>
    <t>Pedestrian Mile Count</t>
  </si>
  <si>
    <t xml:space="preserve">Per Person-Mile Rate Pedestrian Improvement </t>
  </si>
  <si>
    <t>Mortality Reduction Factor-Walking</t>
  </si>
  <si>
    <t>Mortality Reduction Factor-Cycling</t>
  </si>
  <si>
    <t>AT Number of Walking Trips</t>
  </si>
  <si>
    <t>Population make-up adjustment</t>
  </si>
  <si>
    <t>2023 BCA Guidance recommendation</t>
  </si>
  <si>
    <t>Number of Current Parking Spaces</t>
  </si>
  <si>
    <t>Number of Added Trail Parking Spaces</t>
  </si>
  <si>
    <t>Proportionate Percentage of Induced Trips</t>
  </si>
  <si>
    <t>Pedestrian Facility Improvement</t>
  </si>
  <si>
    <t xml:space="preserve"> Annual Pedestrian Traffic</t>
  </si>
  <si>
    <t>Pedestrian Value Add</t>
  </si>
  <si>
    <t>Pedestrian value add Savings (Discounted at 7%)</t>
  </si>
  <si>
    <t>Pedestrian Induced - Health and Recreation</t>
  </si>
  <si>
    <t>Annual Induced AT Trips</t>
  </si>
  <si>
    <t>Mortality Reduction Value</t>
  </si>
  <si>
    <t>Mortality Reduction Savings (Discounted at 7%)</t>
  </si>
  <si>
    <t>Project components will have a useful life longer than the analysis period</t>
  </si>
  <si>
    <t>Type of asset</t>
  </si>
  <si>
    <t>Service life (years)</t>
  </si>
  <si>
    <t>Highways and streets</t>
  </si>
  <si>
    <t>Source: BEA Rate of Depreciation, Service Lives, Declining-Balance Rates, and Hulten-Wykoff Categories</t>
  </si>
  <si>
    <t>http://www.bea.gov/scb/account_articles/national/wlth2594/tableC.htm</t>
  </si>
  <si>
    <t>Total Residual Benefits</t>
  </si>
  <si>
    <t>2021 $</t>
  </si>
  <si>
    <t>Final Year of Analysis Period</t>
  </si>
  <si>
    <t>Share of construction that is non-labor</t>
  </si>
  <si>
    <t>Total Cost $2021</t>
  </si>
  <si>
    <t>Remaining Value</t>
  </si>
  <si>
    <t>Highways and Streets</t>
  </si>
  <si>
    <t>Right-of-Way (does not depreciate)</t>
  </si>
  <si>
    <t>N/A</t>
  </si>
  <si>
    <t>Task #</t>
  </si>
  <si>
    <t>Administrative Unit</t>
  </si>
  <si>
    <t>Start Date</t>
  </si>
  <si>
    <t>Finish Date</t>
  </si>
  <si>
    <t>External WBS#</t>
  </si>
  <si>
    <t>Work Function</t>
  </si>
  <si>
    <t>Inventory Element</t>
  </si>
  <si>
    <t>NCDOT SYSTEM NAME</t>
  </si>
  <si>
    <t>Route/County</t>
  </si>
  <si>
    <t>Lane Direction</t>
  </si>
  <si>
    <t>Lane</t>
  </si>
  <si>
    <t>Offset</t>
  </si>
  <si>
    <t>From MP</t>
  </si>
  <si>
    <t>To MP</t>
  </si>
  <si>
    <t>Asset Type</t>
  </si>
  <si>
    <t>WORK ACCOMP</t>
  </si>
  <si>
    <t>Labor Cost ($)</t>
  </si>
  <si>
    <t>Equipment Cost ($)</t>
  </si>
  <si>
    <t>Material Cost ($)</t>
  </si>
  <si>
    <t>Other Cost</t>
  </si>
  <si>
    <t>14 /3 Graham Mnt</t>
  </si>
  <si>
    <t>1.1008SM</t>
  </si>
  <si>
    <t>2021-ODA (Outdoor Advertising) Program</t>
  </si>
  <si>
    <t>038 NC143 0.00-28.17 *</t>
  </si>
  <si>
    <t>Primary Paved</t>
  </si>
  <si>
    <t>30000143038</t>
  </si>
  <si>
    <t>All</t>
  </si>
  <si>
    <t>Sections</t>
  </si>
  <si>
    <t>14 Traffic Serv</t>
  </si>
  <si>
    <t>14.103812</t>
  </si>
  <si>
    <t>3252-Maintenance of Ground Mounted Signs</t>
  </si>
  <si>
    <t>038 NC143 29.63-38.46 *</t>
  </si>
  <si>
    <t>14 Bitum Ops</t>
  </si>
  <si>
    <t>14.103811</t>
  </si>
  <si>
    <t>2822-Maintenance of Cracks and Joints in Pavement</t>
  </si>
  <si>
    <t>3250-Installation of Ground Mounted Signs</t>
  </si>
  <si>
    <t>038 NC143BUS 0.00-3.43 *</t>
  </si>
  <si>
    <t>39000143038</t>
  </si>
  <si>
    <t>14.203811</t>
  </si>
  <si>
    <t>3111-Minor Shoulder and Drainage Ditch Maintenance</t>
  </si>
  <si>
    <t>Secondary Paved</t>
  </si>
  <si>
    <t>3132-Sweep / Wash Roadway</t>
  </si>
  <si>
    <t>2815-Pothole Patching</t>
  </si>
  <si>
    <t>14.103820</t>
  </si>
  <si>
    <t>3120C-Install / Repair / Maintain Barriers</t>
  </si>
  <si>
    <t>3128-Maint / Repair Pipes (48” or less)</t>
  </si>
  <si>
    <t>2912-Mechanical Brush and Tree Control</t>
  </si>
  <si>
    <t>3130-Install / Repair of Misc. Drainage Structures</t>
  </si>
  <si>
    <t>DF17614.2038004</t>
  </si>
  <si>
    <t>Secondary</t>
  </si>
  <si>
    <t>038 NC143 29.64-38.48 *</t>
  </si>
  <si>
    <t>2818-Full/Partial Depth Asphalt Pavement Repair</t>
  </si>
  <si>
    <t>3109-Maintenance of Shoulders AND Ditches</t>
  </si>
  <si>
    <t>3115-Slope Repair</t>
  </si>
  <si>
    <t>2817-Mechanical Asphalt Patching</t>
  </si>
  <si>
    <t>14 Roadside Env</t>
  </si>
  <si>
    <t>14RE.103815</t>
  </si>
  <si>
    <t>2912C-Mechanical Brush and Tree Control</t>
  </si>
  <si>
    <t>038 NC143BUS 0.00-3.44 *</t>
  </si>
  <si>
    <t>3222-Long Line Painted Pavement Markings</t>
  </si>
  <si>
    <t>14 Div Adm</t>
  </si>
  <si>
    <t>3126-Install Pipes (48” or Less)</t>
  </si>
  <si>
    <t>3108C-Drainage Ditch Maintenance</t>
  </si>
  <si>
    <t>14.103819.2</t>
  </si>
  <si>
    <t>3127-Install Driveway Pipes</t>
  </si>
  <si>
    <t>44554.3.1</t>
  </si>
  <si>
    <t>2911-Manual Brush and Tree Control</t>
  </si>
  <si>
    <t>2016CPT.14.07.10382.3</t>
  </si>
  <si>
    <t>14.203812</t>
  </si>
  <si>
    <t>3138-Machining Unpaved Road</t>
  </si>
  <si>
    <t>36249.3478</t>
  </si>
  <si>
    <t>Non System</t>
  </si>
  <si>
    <t>2909-Manual Brush and Tree Control</t>
  </si>
  <si>
    <t>2914-Vegetation Management at Stationary Objects</t>
  </si>
  <si>
    <t>2816-Asphalt Pavement Repair / Patching</t>
  </si>
  <si>
    <t>44157.3.1</t>
  </si>
  <si>
    <t>038 NC143 0.00-28.21 *</t>
  </si>
  <si>
    <t>3230-Words and Symbols - Specialty Materials</t>
  </si>
  <si>
    <t>13914.1038010</t>
  </si>
  <si>
    <t>038 NC143 29.68-38.51 *</t>
  </si>
  <si>
    <t>Primary</t>
  </si>
  <si>
    <t>43266.3.1</t>
  </si>
  <si>
    <t>038 NC143 29.68-38.52 *</t>
  </si>
  <si>
    <t>14.103813</t>
  </si>
  <si>
    <t>038 NC143 0.00-39.83 *</t>
  </si>
  <si>
    <t>038 NC143BU 0.00-3.45 *</t>
  </si>
  <si>
    <t>3102-Removal of Hazards/Debris From ROW</t>
  </si>
  <si>
    <t>3112-Shoulder Maintenance / Reconstruction</t>
  </si>
  <si>
    <t>3108-Drainage Ditch Maintenance</t>
  </si>
  <si>
    <t>2916-Roadside Vegetation Enhancement</t>
  </si>
  <si>
    <t>3104-Litter Removal</t>
  </si>
  <si>
    <t>2918-Seeding and Mulching and Fertilization</t>
  </si>
  <si>
    <t>3134-Roadway Grading</t>
  </si>
  <si>
    <t>038 NC143BUS 0.00-3.45 *</t>
  </si>
  <si>
    <t>038 NC143 0.00-39.81 *</t>
  </si>
  <si>
    <t>2802-Double Seal</t>
  </si>
  <si>
    <t>2714-Assessments and Inspections</t>
  </si>
  <si>
    <t>4055-SIGN INSTALLATION</t>
  </si>
  <si>
    <t>3773-MNTC OF HIGH &amp; LOW SHLDR</t>
  </si>
  <si>
    <t>4031-SIGN MAINT ACC/VANDALISM</t>
  </si>
  <si>
    <t>3766-BAGGED LITTER PICKUP</t>
  </si>
  <si>
    <t>36247.14.3</t>
  </si>
  <si>
    <t>4151-FLASHER PREV MAINT</t>
  </si>
  <si>
    <t>All (Any DOH Rd Syst)</t>
  </si>
  <si>
    <t>3631-MAT &amp; SEAL CONVENTIONAL</t>
  </si>
  <si>
    <t>4101-LONGLINES PAINTED</t>
  </si>
  <si>
    <t>3756-MACHINE CLEARING OF R-O-W</t>
  </si>
  <si>
    <t>4314-HERBICIDE USE - GUARDRAILS</t>
  </si>
  <si>
    <t>3871-MISC DRAINAGE STRUCTURES</t>
  </si>
  <si>
    <t>4311-HERB USE - ON PAVEMENT</t>
  </si>
  <si>
    <t>3762-CLEAR DEBRIS FROM RDWY</t>
  </si>
  <si>
    <t>4331-PLANTING &amp; PLANT MAINT</t>
  </si>
  <si>
    <t>3774-MINOR MNTC OF DITCHES</t>
  </si>
  <si>
    <t>4032-SIGN MAINT REPLACEMENT</t>
  </si>
  <si>
    <t>40537</t>
  </si>
  <si>
    <t>4146-FLASHER UPGRADING</t>
  </si>
  <si>
    <t>3851-INST OF DRIVE PIPE RSDNTL</t>
  </si>
  <si>
    <t>4005-SIGN MAINT GENERAL</t>
  </si>
  <si>
    <t>4001-NIGHTTIME TRAF CNTRL INSP</t>
  </si>
  <si>
    <t>4106-MISC MARKINGS - PLASTIC</t>
  </si>
  <si>
    <t>4325-SEEDING AND MULCHING</t>
  </si>
  <si>
    <t>038 NC143 0.00-29.48 *</t>
  </si>
  <si>
    <t>3711-MANUAL PATCHING</t>
  </si>
  <si>
    <t>4142-TRAFF SIGNAL EMERG MAINT</t>
  </si>
  <si>
    <t>4125-DELINEATORS INST &amp; MAINT</t>
  </si>
  <si>
    <t>038 NC143 31.09-39.81 *</t>
  </si>
  <si>
    <t>038 NC143 30.95-31.09 *</t>
  </si>
  <si>
    <t>14.3038171</t>
  </si>
  <si>
    <t>3855-INSTLN OF PIPE CULVERTS</t>
  </si>
  <si>
    <t>Urban</t>
  </si>
  <si>
    <t>14.3038173</t>
  </si>
  <si>
    <t>038 NC143BU 2.50-3.45 *</t>
  </si>
  <si>
    <t>3781-REPAIR OF SLOPES</t>
  </si>
  <si>
    <t>14 Bri Marble</t>
  </si>
  <si>
    <t>14B.3038171</t>
  </si>
  <si>
    <t>4511-MAINT OF CONC BRIDGE FLR</t>
  </si>
  <si>
    <t>Urban Bridge</t>
  </si>
  <si>
    <t>3765-LITTER PICKUP</t>
  </si>
  <si>
    <t>14M.202012</t>
  </si>
  <si>
    <t>14M.103812</t>
  </si>
  <si>
    <t>14CR.10381.2</t>
  </si>
  <si>
    <t>3715-FULL DEPTH PATCH HOT MIX</t>
  </si>
  <si>
    <t>3718-MNTC OF CRCKS IN ASP PAVT</t>
  </si>
  <si>
    <t>14M.103811</t>
  </si>
  <si>
    <t>3755-MANUAL CLEARING OF R-O-W</t>
  </si>
  <si>
    <t>36050.038</t>
  </si>
  <si>
    <t>3745-SNOW AND ICE CONTROL</t>
  </si>
  <si>
    <t>3861-MNTC OF PIPE CULVERTS</t>
  </si>
  <si>
    <t>3761-REMOVAL OF HAZARDS</t>
  </si>
  <si>
    <t>14.103817</t>
  </si>
  <si>
    <t>3714-AST PATCHING</t>
  </si>
  <si>
    <t>038 NC143BU 0.00-2.50 *</t>
  </si>
  <si>
    <t>4310-HERB USE - SIGN POSTS</t>
  </si>
  <si>
    <t>3020-FORCE ACCT - OFC OPS</t>
  </si>
  <si>
    <t>14.103815</t>
  </si>
  <si>
    <t>2620-INSPECTION</t>
  </si>
  <si>
    <t>3010-SUPERVISION</t>
  </si>
  <si>
    <t>14.1038</t>
  </si>
  <si>
    <t>3716-FULL DEPTH PATCH AST</t>
  </si>
  <si>
    <t>3605-CLEARING AND GRUBBING</t>
  </si>
  <si>
    <t>Assuming these are part of the annual O&amp;M</t>
  </si>
  <si>
    <t>Hours</t>
  </si>
  <si>
    <t>Incidents</t>
  </si>
  <si>
    <t>Hours per Incident</t>
  </si>
  <si>
    <t>Source: NCDOT TIMS database</t>
  </si>
  <si>
    <t>Average without outliers</t>
  </si>
  <si>
    <t>Average without outliers divided by 2 to be conservative</t>
  </si>
  <si>
    <t>Traffic Incident Management Data</t>
  </si>
  <si>
    <t>See TIMS.xlsx in the Supplemental Materials for details</t>
  </si>
  <si>
    <t>Row Labels</t>
  </si>
  <si>
    <t>Sum of Closure Hours</t>
  </si>
  <si>
    <t>Count of DateStamp</t>
  </si>
  <si>
    <t>Hours per event</t>
  </si>
  <si>
    <t>Road Closed</t>
  </si>
  <si>
    <t>Road Impassable</t>
  </si>
  <si>
    <t>Road Closed with Detour</t>
  </si>
  <si>
    <t>(blank)</t>
  </si>
  <si>
    <t>Grand Total</t>
  </si>
  <si>
    <t>**less the outlier in 2021</t>
  </si>
  <si>
    <t>Hours Closed per Year</t>
  </si>
  <si>
    <t>Further refining dates/events and outliers:</t>
  </si>
  <si>
    <t>Closures per year</t>
  </si>
  <si>
    <t>Average hours of closure incident</t>
  </si>
  <si>
    <t>**excludes 2023 due to partial year data</t>
  </si>
  <si>
    <t>Traffic Data</t>
  </si>
  <si>
    <t>AADT</t>
  </si>
  <si>
    <t>Source: NCDOT AADT Segments</t>
  </si>
  <si>
    <t>https://ncdot.maps.arcgis.com/apps/webappviewer/index.html?id=964881960f0549de8c3583bf46ef5ed4</t>
  </si>
  <si>
    <t>Corridor AADT</t>
  </si>
  <si>
    <t>Cars</t>
  </si>
  <si>
    <t>US 74 AADT</t>
  </si>
  <si>
    <t>Source: NCDOT Traffic Volume Maps</t>
  </si>
  <si>
    <t>I74 Traffic Points</t>
  </si>
  <si>
    <t>Trail Section Hiked</t>
  </si>
  <si>
    <t>Day of the Week</t>
  </si>
  <si>
    <t>Date of collection</t>
  </si>
  <si>
    <t>Month</t>
  </si>
  <si>
    <t>General Comments</t>
  </si>
  <si>
    <t># Day Hikers</t>
  </si>
  <si>
    <t># Thru-Hikers</t>
  </si>
  <si>
    <t># Backpackers/Section Hikers</t>
  </si>
  <si>
    <t># Groups (only groups 7+ people)</t>
  </si>
  <si>
    <t># within each group</t>
  </si>
  <si>
    <t>Horse Riders (GRSM only)</t>
  </si>
  <si>
    <t xml:space="preserve">Total People Seen </t>
  </si>
  <si>
    <t># Interactions</t>
  </si>
  <si>
    <t>lbs. of trash</t>
  </si>
  <si>
    <t>gallons of trash</t>
  </si>
  <si>
    <t># Visible TP/Poop instances</t>
  </si>
  <si>
    <t># Fire Rings Dismantled</t>
  </si>
  <si>
    <t>Sample Data Extrapolation</t>
  </si>
  <si>
    <t xml:space="preserve">Fontana Dam to Mollies Ridge Shelter. </t>
  </si>
  <si>
    <t>Fri</t>
  </si>
  <si>
    <t>02-25-2022</t>
  </si>
  <si>
    <t xml:space="preserve">Renaturalized a campfire in the flat area just below Shuckstack firetower. 
Renaturalized a campfire at base of Shuckstack. Talked to five thru-hikers at Shuckstack. All but one had permit. I did not have paper permits so I provided him GRSM Backcountry Office number. Later confirmed with Ricky that the hiker got their permit. 
Inspected campsite 113. Minimal trash. Dispersed fire ring at one tentsite. 
Cleared multiple blowdowns between Fontana and Mollies Ridge Shelter. Documented ones I cannot do myself. </t>
  </si>
  <si>
    <t>Days observed</t>
  </si>
  <si>
    <t>Wkdy Avg</t>
  </si>
  <si>
    <t>Wknd Avg</t>
  </si>
  <si>
    <t>Season Weeks</t>
  </si>
  <si>
    <t>Season Wkdy</t>
  </si>
  <si>
    <t>Season Wknd</t>
  </si>
  <si>
    <t>Extrapolated</t>
  </si>
  <si>
    <t xml:space="preserve">Mollies Ridge Shelter to Spence Field Shelter, then back to Russell Field Shelter. </t>
  </si>
  <si>
    <t>Sat</t>
  </si>
  <si>
    <t>02-26-2022</t>
  </si>
  <si>
    <t xml:space="preserve">Hiked from Mollies Ridge Shelter to Spence Field Shelter. Ran into Ricky and some backpackers. Dropped off sanitizing wipes for privy and backtracked to Russell Field Shelter. 
Met and talked with dayhikers doing loop from Cades Cove. Provided a quick weather report. Met thru-hiker; had permit. 
Met backpackers at Russell that were staying for the night. Both groups actual size were smaller than their permits due to dropouts from weather. Three thru-hikers arrived afterwards. All had permits. </t>
  </si>
  <si>
    <t>February</t>
  </si>
  <si>
    <t>Winter</t>
  </si>
  <si>
    <t xml:space="preserve">Russell Field Shelter to Fontana Dam. </t>
  </si>
  <si>
    <t>Sun</t>
  </si>
  <si>
    <t>02-27-2022</t>
  </si>
  <si>
    <t xml:space="preserve">Rainy start to the morning. Ran into three backpackers and a thru-hiker just north of Mollies. All had permits and in good spirits. 
Met five thru-hikers at Mollies Ridge Shelter. They were waiting out the rain before pushing on. Passed on some LNT advice, including encouragement to eat and cook outside sleeping area. Hikers were receptive to me and had permits. 
Met two thru-hikers just north of campsite 113. They mentioned a guthook comment that showed camping closures due to bear activity in the Snowbird Max Patch area. The closure seems to have been lifted, but the comment will probably cause confusion. I've attached a guthook comment picture for reference. Will likely need to reach out to the app to have it removed. 
Met a backpacker north of Fontana Dam without a permit. We were unable to contact the backcountry office, but I gathered his information and provided a paper permit so a reservation number could be issued at a later time when contact could be made. </t>
  </si>
  <si>
    <t>March</t>
  </si>
  <si>
    <t>Spring</t>
  </si>
  <si>
    <t>Thurs</t>
  </si>
  <si>
    <t>03-03-2022</t>
  </si>
  <si>
    <t xml:space="preserve">Beautiful weather. Light traffic on the trail. All thru-hikers had permits.
 A few hikers left their packs at the junction of the A.T. and Shuckstack firetower. Encouraged them to not leave packs unattended. </t>
  </si>
  <si>
    <t>April</t>
  </si>
  <si>
    <t>Fall</t>
  </si>
  <si>
    <t xml:space="preserve">Mollies Ridge Shelter to Spence Field Shelter. </t>
  </si>
  <si>
    <t>03-04-2022</t>
  </si>
  <si>
    <t xml:space="preserve">Very warm day. Met most of my hikers at Spence Field Shelter. All had permits. Talked about best LNT practices to avoid shelter closures with them. </t>
  </si>
  <si>
    <t xml:space="preserve"> 0</t>
  </si>
  <si>
    <t>May</t>
  </si>
  <si>
    <t>Summer</t>
  </si>
  <si>
    <t>Campsite 113 to Fontana Dam</t>
  </si>
  <si>
    <t>03-06-2022</t>
  </si>
  <si>
    <t xml:space="preserve">Warm day. Met fewer thru-hikers than the previous day. All who would talk to me had permits. 
Met the unnamed man who had been exhibiting odd behavior to other hikers. I tried to stop and talk to him, but he never acknowledged me and kept walking. More details in the main incident section. </t>
  </si>
  <si>
    <t>0</t>
  </si>
  <si>
    <t>03-10-2022</t>
  </si>
  <si>
    <t xml:space="preserve">Not much traffic on the trail. Hikers I talked to indicated that many were waiting in Fontana for the storm to pass. No issue with permits. </t>
  </si>
  <si>
    <t>03-12-2022</t>
  </si>
  <si>
    <t xml:space="preserve">Very cold and snowy. Snowpack height was usually at my ankle and sometimes came to my knees. 
Very few hikers. One hiker was waiting out weather at Mollies Ridge Shelter. Another had camped at Ekaneeklee Gap the night before. I made sure he was safe from weather, but took a brief moment to address designated campsites in the Smokies. 
Only other hikers I saw were near campsite 113. Passed on trail conditions to them. </t>
  </si>
  <si>
    <t>**Assume Spring/Fall Similar activity</t>
  </si>
  <si>
    <t xml:space="preserve">Fontana dam to Shuckstack firetower and back. </t>
  </si>
  <si>
    <t>03-13-2022</t>
  </si>
  <si>
    <t xml:space="preserve">Dayhike up to Shuckstack Firetower. Sunny weather made snow generally more manageable. 
Met lots of hikers who were waiting out the weather. No issues with permits. Some hikers indicated even more were waiting out for nicer weather. 
Met two rangers at the trailhead keeping an eye out for Ice/Pina Colada (the problematic hiker). Talked with them and passed on information I had heard from other hikers. </t>
  </si>
  <si>
    <t xml:space="preserve">Fontana Dam to Mollies Ridge Shelter </t>
  </si>
  <si>
    <t>03-24-2022</t>
  </si>
  <si>
    <t xml:space="preserve">The permit box was very full. Lots of hikers on the trail. No issues with permits. 
Found and dispersed a fire ring at one of the tentsites at Campsite 113. 
</t>
  </si>
  <si>
    <t xml:space="preserve">Mollies Ridge Shelter to Fontana Dam </t>
  </si>
  <si>
    <t>03-27-2022</t>
  </si>
  <si>
    <t xml:space="preserve">Cold start to the morning. Then progressed to warmer weather in the day. 
Met most thru-hikers so far this season. All who stopped to talked to me had permits.
Directed traffic to try to spread thru-hikers as evenly as possible between the first three shelters. 
Told backpackers about shelter policy so they were aware of how to handle shelter space with the multitude of thru-hikers in mind. </t>
  </si>
  <si>
    <t>Fontana Dam to Shuckstack Firetower and back</t>
  </si>
  <si>
    <t>03-31-2022</t>
  </si>
  <si>
    <t xml:space="preserve">Broke down a very large fire ring in the meadow below Shuckstack. 
Passed on information about fires in the Park to hikers. </t>
  </si>
  <si>
    <t xml:space="preserve">Fontana Dam to Russell Field Shelter </t>
  </si>
  <si>
    <t>04-01-2022</t>
  </si>
  <si>
    <t xml:space="preserve">Cut down multiple blowdowns. 
Encouraged hikers to avoid making fires due to heightened wildfire conditions. 
Provided LNT education on wildflowers to help hikers choose best camping spots around shelters. </t>
  </si>
  <si>
    <t>04-03-2022</t>
  </si>
  <si>
    <t xml:space="preserve">Lots of traffic on the trail. Checked permits and directed traffic between the first three shelters.
Encouraged hikers to not have fires and not eat in shelters. All I talked to were receptive to advice. 
Talked with hikers that described concern related to Half Pike, the hiker with the spear. Wrote down information to report information Dispatch </t>
  </si>
  <si>
    <t>04-14-2022</t>
  </si>
  <si>
    <t xml:space="preserve">Rainy in the morning. Very muddy on the trail. Not very many hikers on the trail. 
Dispersed fire rings at illegal campsite 1 mile into park and Mollies Ridge Shelter. 
Found odd graffiti at remnants of old ranger house at Shuckstack firetower. Also found trash in the base of the ranger house foundation. Did not previously realize that was accessible. The access point is fairly deep so I may need help getting the trash out. </t>
  </si>
  <si>
    <t>Russell Field Shelter to Fontana Dam</t>
  </si>
  <si>
    <t>04-17-2022</t>
  </si>
  <si>
    <t xml:space="preserve">Packed out food bag that was previously stored in toolbox at Mollies Ridge Shelter. 
Most thru-hikers entering the park in one day so far. Most were encountered later in the day which indicates high traffic at campsite 113 and Mollies Ridge Shelter. Encouraged hikers to push past Mollies if they could. 
Found and dispersed an old fire ring at junction with the Gregory Bald Trail. </t>
  </si>
  <si>
    <t>04-28-2022</t>
  </si>
  <si>
    <t xml:space="preserve">Not very many hikers on the trail. Nothing significant to note otherwise. 
</t>
  </si>
  <si>
    <t>Tues</t>
  </si>
  <si>
    <t>05-03-2022</t>
  </si>
  <si>
    <t xml:space="preserve">Very quiet on the trail. Single digits in thru-hikers encountered. Nothing significant to report. </t>
  </si>
  <si>
    <t xml:space="preserve">Fontana Dam to close to campsite 113 and back. </t>
  </si>
  <si>
    <t>05-12-2022</t>
  </si>
  <si>
    <t xml:space="preserve">Encountered hiker with hip injury. Hiked back with her to ensure she returned to Fontana Dam safely. Did not return to Fontana until the evening due to slow pace. Encountered other hikers, but did not engage with them as much as I normally would due to assistance with injured hiker. 
Spent the night at Fontana Village since hike back to an overnight site was not feasible. </t>
  </si>
  <si>
    <t xml:space="preserve">Fontana Dam to Spence Field Shelter </t>
  </si>
  <si>
    <t>05-13-2022</t>
  </si>
  <si>
    <t xml:space="preserve">Heard radio chatter about a bear encounter at Russell Field Shelter. Shortly after arrival at Russell, saw problematic bear and scared it away multiple times over the course of two hours. Informed hikers at Russell that closure was extremely likely. Several chose to hike on before closure was officially confirmed. All left after closure was confirmed by dispatch. Posted closure signs for future hikers. Hiked on to Spence Field Shelter afterwards. 
More information on bear encounter in separate bear form. </t>
  </si>
  <si>
    <t>05-19-2022</t>
  </si>
  <si>
    <t xml:space="preserve">No thru-hikers, only backpackers. Fairly quiet on trail. Passed on information about bear safety and Russell Field Shelter closure. </t>
  </si>
  <si>
    <t xml:space="preserve">Campsite 113 to Fontana Dam </t>
  </si>
  <si>
    <t>05-22-2022</t>
  </si>
  <si>
    <t xml:space="preserve">Mixture of thru-hikers and backpackers. Passed on information about bear safety and Russell field shelter closure. Encouraged hikers to keep gear close at all times. 
Passed on water condition at Mollies Ridge Shelter. There is a rumor that the shelter's water source is dry, which isn't true. 
Found a partially burnt log in meadow below Shuckstack firetower. Renaturalized site. 
Shuckstack floor and viewbox showing signs of wear. Repairs could be necessary in the future. </t>
  </si>
  <si>
    <t xml:space="preserve">Fontana Dam to Campsite 113 and back. </t>
  </si>
  <si>
    <t>05-26-2022</t>
  </si>
  <si>
    <t xml:space="preserve">Packed out the abandoned pack at 113 that I reported last week. Out-and-back hike from Fontana. 
Very rainy weather. Not many hikers on the trail. Passed on shelter closure info to all I saw. </t>
  </si>
  <si>
    <t>05-27-2022</t>
  </si>
  <si>
    <t xml:space="preserve">Wet trail and rainy weather. Saw only backpackers. They had various levels of experience, but all seemed to be in good spirits despite the weather. Nothing significant to report otherwise. </t>
  </si>
  <si>
    <t>05-29-2022</t>
  </si>
  <si>
    <t>Encountered primarily backpackers. Passed on information about bear awareness and safety. 
Most thru-hikers I encountered weren't aware of Russell Field Shelter closure. Can the ATC broadcast information to hikers about the closure?
Last day of the season. A busy and successful year on the trail!</t>
  </si>
  <si>
    <t>Average</t>
  </si>
  <si>
    <t xml:space="preserve">2050 projection source: </t>
  </si>
  <si>
    <t>CO2 Emissions from a gallon of gasoline ( grams CO2/ gallon)</t>
  </si>
  <si>
    <t>Fuel Type</t>
  </si>
  <si>
    <t>Source: California Air Resources Board</t>
  </si>
  <si>
    <t>https://arb.ca.gov/emfac/emissions-inventory/747eda1236e185f07668f8c5fabd093d532c0f50</t>
  </si>
  <si>
    <t>https://arb.ca.gov/emfac/emissions-inventory/b63464fd92fc8220a78715221ed7159727297627</t>
  </si>
  <si>
    <t>Conversion rate for grams per metric ton</t>
  </si>
  <si>
    <t>Gasoline</t>
  </si>
  <si>
    <t>Inputs for output on website:</t>
  </si>
  <si>
    <t>Output: On road Emission Rates</t>
  </si>
  <si>
    <t>Emission Rates (grams/mile) - Passenger Vehicles</t>
  </si>
  <si>
    <t>Model Version: EMFAC2-21v1.0.1</t>
  </si>
  <si>
    <t>CO2</t>
  </si>
  <si>
    <t>PM2.5</t>
  </si>
  <si>
    <t>Nox</t>
  </si>
  <si>
    <t>So2</t>
  </si>
  <si>
    <t>Region Type: Statewide</t>
  </si>
  <si>
    <t>Historical Data</t>
  </si>
  <si>
    <t>Calendar year: 2019-2050</t>
  </si>
  <si>
    <t>Vehicle: LDA</t>
  </si>
  <si>
    <t>LDA = Passenger Vehicle</t>
  </si>
  <si>
    <t>Season: Annual</t>
  </si>
  <si>
    <t>Model Year: Aggregate</t>
  </si>
  <si>
    <t>Speed: Aggregate</t>
  </si>
  <si>
    <t>Fuel: Gasoline</t>
  </si>
  <si>
    <t>Projections</t>
  </si>
  <si>
    <t>For existing data:</t>
  </si>
  <si>
    <t>Diesel - Heavy Duty Vehicles</t>
  </si>
  <si>
    <t>FOR 2050 Projections:</t>
  </si>
  <si>
    <t>T7 NNOOS Class 8 Heavy-Heavy Duty Non-Neighboring Out-of-state Truck T7 NNOOS</t>
  </si>
  <si>
    <t>Emission Rates (grams/mile) - Trucks</t>
  </si>
  <si>
    <t xml:space="preserve">PM2.5 </t>
  </si>
  <si>
    <t>Emissions Values (Source: January 2023 BCA Discretionary Guidance)</t>
  </si>
  <si>
    <t>Emissions Type</t>
  </si>
  <si>
    <t>Sox</t>
  </si>
  <si>
    <t>RouteID</t>
  </si>
  <si>
    <t>BMP</t>
  </si>
  <si>
    <t>EMP</t>
  </si>
  <si>
    <t>Segment</t>
  </si>
  <si>
    <t>Mile Markers</t>
  </si>
  <si>
    <t>Proposed Conditions</t>
  </si>
  <si>
    <t>US 129: SOUTH OF SR 1275 (FIVE POINT ROAD) TO NC 143</t>
  </si>
  <si>
    <t>11.117 to 11.468</t>
  </si>
  <si>
    <t>Three lanes with a dedicated turning lane</t>
  </si>
  <si>
    <t>NC 143: US 129 TO SR 1223 (BEECH CREEK ROAD)</t>
  </si>
  <si>
    <t>29.644 to 33.314</t>
  </si>
  <si>
    <t>Widen to 3 lanes with alternate climbing and passing lanes; widen and pave shoulders and modify super-elevations</t>
  </si>
  <si>
    <t>NC 143: SR 1223 (BEECH CREEK ROAD) TO NORTH OF APPALACHIAN TRAIL</t>
  </si>
  <si>
    <t>33.314 to 36.85</t>
  </si>
  <si>
    <t>Widen to 3, 12-ft lanes with alternate climbing and passing lanes; widen/pave shoulders; modify super-elevations to improve flow; land bridge to provide grade separation for pedestrian users of the App Trail and wildlife</t>
  </si>
  <si>
    <t>NC 143: NORTH OF APPALACHIAN TRAIL TO NC 28</t>
  </si>
  <si>
    <t>36.85 to 38.48</t>
  </si>
  <si>
    <t>Widen to 3, 12-ft lanes with alternate climbing and passing lanes; widen/pave shoulders; modify super-elevations to improve flow</t>
  </si>
  <si>
    <t>NC 28: NC 143 TO EAST OF SR 1235 (GUNTERS GAP ROAD)</t>
  </si>
  <si>
    <t>6.75 to 8.017</t>
  </si>
  <si>
    <t>NC 28: TO EAST OF SR 1235 (GUNTERS GAP ROAD)</t>
  </si>
  <si>
    <t>5.33 to 6.75</t>
  </si>
  <si>
    <t>Widen to 3, 12-ft lanes with alternate climbing and passing lanes; widen/pave shoulders; modify super-elevations to improve flow; new multi-phase path</t>
  </si>
  <si>
    <t>Information Documentation</t>
  </si>
  <si>
    <t>Add passing/climbing lane in a single direction on rural 2-lane road:</t>
  </si>
  <si>
    <t>CMF = 0.75 for total crashes (NCDOT List 4.16.1)</t>
  </si>
  <si>
    <t>Widen paved shoulder (assume 0' to 4') on rural 2-lane road:</t>
  </si>
  <si>
    <t>Relevant Crash Proportions from TEAAS Located Crashes by Route</t>
  </si>
  <si>
    <t>59% lane departure crashes</t>
  </si>
  <si>
    <t>58% lane departure crashes</t>
  </si>
  <si>
    <t>24% lane departure crashes</t>
  </si>
  <si>
    <t>Source: NCDOT Safety Division</t>
  </si>
  <si>
    <t>2022 dollars</t>
  </si>
  <si>
    <t>20% E&amp;C included</t>
  </si>
  <si>
    <t>Section</t>
  </si>
  <si>
    <t>Previously Incurred Costs</t>
  </si>
  <si>
    <t>Preliminary Engineering</t>
  </si>
  <si>
    <t>ROW</t>
  </si>
  <si>
    <t>Utilities</t>
  </si>
  <si>
    <t>Total Construction</t>
  </si>
  <si>
    <t>ADHS Funding</t>
  </si>
  <si>
    <t>Total Grant Eligible Costs</t>
  </si>
  <si>
    <t>Funding Sources</t>
  </si>
  <si>
    <t>Notes</t>
  </si>
  <si>
    <t>Construction Start</t>
  </si>
  <si>
    <t>Construction End</t>
  </si>
  <si>
    <t>Years</t>
  </si>
  <si>
    <t>A-0009CA</t>
  </si>
  <si>
    <t>Other Federal</t>
  </si>
  <si>
    <t>Grant eligible costs were requested from NSFLTP</t>
  </si>
  <si>
    <t>A-0009CB</t>
  </si>
  <si>
    <t>A-0009CC</t>
  </si>
  <si>
    <t>A-0009CD</t>
  </si>
  <si>
    <t xml:space="preserve">Federal </t>
  </si>
  <si>
    <t>ITS</t>
  </si>
  <si>
    <t>CA</t>
  </si>
  <si>
    <t>CB</t>
  </si>
  <si>
    <t>CC</t>
  </si>
  <si>
    <t>CD</t>
  </si>
  <si>
    <t>Table 10.1 - GROSS DOMESTIC PRODUCT AND DEFLATORS USED IN THE HISTORICAL TABLES:  1940 - 2028</t>
  </si>
  <si>
    <t>(Fiscal Year 2012 = 1.000)</t>
  </si>
  <si>
    <t>Fiscal Year</t>
  </si>
  <si>
    <t>GDP (in</t>
  </si>
  <si>
    <t>GDP</t>
  </si>
  <si>
    <t>Composite Outlay Deflators</t>
  </si>
  <si>
    <t>billions of</t>
  </si>
  <si>
    <t>(Chained)</t>
  </si>
  <si>
    <t>Payment for Individuals</t>
  </si>
  <si>
    <t>Other</t>
  </si>
  <si>
    <t>Net Interest</t>
  </si>
  <si>
    <t>Undis-</t>
  </si>
  <si>
    <t>All Other</t>
  </si>
  <si>
    <t>Addendum: Direct Capital</t>
  </si>
  <si>
    <t>dollars)</t>
  </si>
  <si>
    <t>Price Index</t>
  </si>
  <si>
    <t>Defense</t>
  </si>
  <si>
    <t>Nondefense</t>
  </si>
  <si>
    <t>Grants</t>
  </si>
  <si>
    <t>tributed</t>
  </si>
  <si>
    <t>Offsetting</t>
  </si>
  <si>
    <t>Direct</t>
  </si>
  <si>
    <t>Receipts</t>
  </si>
  <si>
    <t>TQ</t>
  </si>
  <si>
    <t>2023 estimate</t>
  </si>
  <si>
    <t>2024 estimate</t>
  </si>
  <si>
    <t>2025 estimate</t>
  </si>
  <si>
    <t>2026 estimate</t>
  </si>
  <si>
    <t>2027 estimate</t>
  </si>
  <si>
    <t>2028 estimate</t>
  </si>
  <si>
    <t>Note: Constant dollar research and development outlays are based on the GDP (chained) price index.</t>
  </si>
  <si>
    <t>Updated 7/24/2023</t>
  </si>
  <si>
    <t>Economic Impacts, Freight Movement, and Job Creation</t>
  </si>
  <si>
    <t>Climate Change, Resiliency, and the Environment</t>
  </si>
  <si>
    <t>Equity, Multimodal Options, and Quality of Life</t>
  </si>
  <si>
    <t>Innovation Areas: Technology, Project Delivery, and Financing</t>
  </si>
  <si>
    <t>Escalation</t>
  </si>
  <si>
    <t>Construction</t>
  </si>
  <si>
    <t>Funding Source</t>
  </si>
  <si>
    <t>Funding Amount</t>
  </si>
  <si>
    <t>Rural Funds:</t>
  </si>
  <si>
    <t>Sources and Uses of Funds</t>
  </si>
  <si>
    <t>Other Federal Funds (ADHS):</t>
  </si>
  <si>
    <t>Non-Federal Funds:</t>
  </si>
  <si>
    <t>Total:</t>
  </si>
  <si>
    <t>Funding</t>
  </si>
  <si>
    <t>Mitigations</t>
  </si>
  <si>
    <t>Total (2023$)</t>
  </si>
  <si>
    <t>Total (2021$)</t>
  </si>
  <si>
    <t>Previously Incurred Costs (2023$)</t>
  </si>
  <si>
    <t>Source: NCDOT, July 2023</t>
  </si>
  <si>
    <t>Construction 2021$</t>
  </si>
  <si>
    <t>Adjusted for Previously Incurred Costs</t>
  </si>
  <si>
    <t>Factor for half year benefits</t>
  </si>
  <si>
    <t>TBD</t>
  </si>
  <si>
    <t>Crash Data from 6/1/2018 to 5/31/2023</t>
  </si>
  <si>
    <r>
      <t>Light Vehicle Idle Emissions Rates g/hr. CO</t>
    </r>
    <r>
      <rPr>
        <vertAlign val="subscript"/>
        <sz val="10"/>
        <rFont val="Calibri"/>
        <family val="2"/>
        <scheme val="minor"/>
      </rPr>
      <t>2</t>
    </r>
  </si>
  <si>
    <r>
      <t>Heavy Duty (Class VII) Idle Emissions Rates g/hr. CO</t>
    </r>
    <r>
      <rPr>
        <vertAlign val="subscript"/>
        <sz val="10"/>
        <rFont val="Calibri"/>
        <family val="2"/>
      </rPr>
      <t>2</t>
    </r>
  </si>
  <si>
    <t>Table 9 ATRI Operational Cost of Trucking 2023. Includes fuel, truck/trailer lease, repair, maintenance, driver benefits, tires, and insurance. Excludes driver time (valued in travel time savings); https://truckingresearch.org/wp-content/uploads/2023/06/ATRI-Operational-Cost-of-Trucking-06-2023.pdf</t>
  </si>
  <si>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Apply CMF of 0.95 to total crashes (0.77 for lane departure crashes applies only to the 24% proportion of lane departure crashes); calculation: 1-((1-0.77)*0.24) = 0.95</t>
    </r>
  </si>
  <si>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xml:space="preserve">: Apply CMF of 0.86 to total crashes (0.77 for lane departure crashes applies only to the 59% proportion of lane departure crashes); calculation: 1-((1-0.77)*0.59) = 0.86
</t>
    </r>
    <r>
      <rPr>
        <b/>
        <sz val="11"/>
        <color theme="1"/>
        <rFont val="Calibri"/>
        <family val="2"/>
        <scheme val="minor"/>
      </rPr>
      <t>Superelevation</t>
    </r>
    <r>
      <rPr>
        <sz val="11"/>
        <color theme="1"/>
        <rFont val="Calibri"/>
        <family val="2"/>
        <scheme val="minor"/>
      </rPr>
      <t>: I do not recommend applying a CMF for this improvement due to overlapping effect with other improvements.</t>
    </r>
  </si>
  <si>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xml:space="preserve">: Apply CMF of 0.86 to total crashes (0.77 for lane departure crashes applies only to the 59% proportion of lane departure crashes); calculation: 1-((1-0.77)*0.59) = 0.86
</t>
    </r>
    <r>
      <rPr>
        <b/>
        <sz val="11"/>
        <color theme="1"/>
        <rFont val="Calibri"/>
        <family val="2"/>
        <scheme val="minor"/>
      </rPr>
      <t>Superelevation</t>
    </r>
    <r>
      <rPr>
        <sz val="11"/>
        <color theme="1"/>
        <rFont val="Calibri"/>
        <family val="2"/>
        <scheme val="minor"/>
      </rPr>
      <t xml:space="preserve">: I do not recommend applying a CMF for this improvement due to overlapping effect with other improvements.
</t>
    </r>
    <r>
      <rPr>
        <b/>
        <sz val="11"/>
        <color theme="1"/>
        <rFont val="Calibri"/>
        <family val="2"/>
        <scheme val="minor"/>
      </rPr>
      <t>Bridge</t>
    </r>
    <r>
      <rPr>
        <sz val="11"/>
        <color theme="1"/>
        <rFont val="Calibri"/>
        <family val="2"/>
        <scheme val="minor"/>
      </rPr>
      <t>: No crash reductions calculated due to the fact that no pedestrian crashes were located to this section.</t>
    </r>
  </si>
  <si>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xml:space="preserve">: Apply CMF of 0.86 to total crashes (0.77 for lane departure crashes applies only to the 58% proportion of lane departure crashes); calculation: 1-((1-0.77)*0.58) = 0.86
</t>
    </r>
    <r>
      <rPr>
        <b/>
        <sz val="11"/>
        <color theme="1"/>
        <rFont val="Calibri"/>
        <family val="2"/>
        <scheme val="minor"/>
      </rPr>
      <t>Superelevation</t>
    </r>
    <r>
      <rPr>
        <sz val="11"/>
        <color theme="1"/>
        <rFont val="Calibri"/>
        <family val="2"/>
        <scheme val="minor"/>
      </rPr>
      <t>: I do not recommend applying a CMF for this improvement due to overlapping effect with other improvements.</t>
    </r>
  </si>
  <si>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xml:space="preserve">: Apply CMF of 0.86 to total crashes (0.77 for lane departure crashes applies only to the 58% proportion of lane departure crashes); calculation: 1-((1-0.77)*0.58) = 0.86
</t>
    </r>
    <r>
      <rPr>
        <b/>
        <sz val="11"/>
        <color theme="1"/>
        <rFont val="Calibri"/>
        <family val="2"/>
        <scheme val="minor"/>
      </rPr>
      <t>Superelevation</t>
    </r>
    <r>
      <rPr>
        <sz val="11"/>
        <color theme="1"/>
        <rFont val="Calibri"/>
        <family val="2"/>
        <scheme val="minor"/>
      </rPr>
      <t xml:space="preserve">: I do not recommend applying a CMF for this improvement due to overlapping effect with other improvements.
</t>
    </r>
    <r>
      <rPr>
        <b/>
        <sz val="11"/>
        <color theme="1"/>
        <rFont val="Calibri"/>
        <family val="2"/>
        <scheme val="minor"/>
      </rPr>
      <t>Multi-phase path</t>
    </r>
    <r>
      <rPr>
        <sz val="11"/>
        <color theme="1"/>
        <rFont val="Calibri"/>
        <family val="2"/>
        <scheme val="minor"/>
      </rPr>
      <t>: No crash reductions calculated due to the fact that no pedestrian crashes were located to this section.</t>
    </r>
  </si>
  <si>
    <t>NCDOT recommendations</t>
  </si>
  <si>
    <t xml:space="preserve">Note: NCDOT KABCO category labeling differs in wording from the 2023 BCA guidance. </t>
  </si>
  <si>
    <t>Multiplied by 5 to account for 5-foot width of new sidewalk build</t>
  </si>
  <si>
    <t>Table 9: 2021 ATRI Operational Cost:https://truckingresearch.org/wp-content/uploads/2023/06/ATRI-Operational-Cost-of-Trucking-06-2023.pdf</t>
  </si>
  <si>
    <t>Fuel Cost</t>
  </si>
  <si>
    <t>Truck/Trailer Lease Pmts</t>
  </si>
  <si>
    <t>Repair and Maintenance</t>
  </si>
  <si>
    <t>Drivers Benefits</t>
  </si>
  <si>
    <t>Tires</t>
  </si>
  <si>
    <t>Insurance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</si>
</sst>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_);[Red]\(&quot;$&quot;#,##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0.0"/>
    <numFmt numFmtId="166" formatCode="_(* #,##0_);_(* \(#,##0\);_(* &quot;-&quot;??_);_(@_)"/>
    <numFmt numFmtId="167" formatCode="_(* #,##0.0_);_(* \(#,##0.0\);_(* &quot;-&quot;??_);_(@_)"/>
    <numFmt numFmtId="168" formatCode="&quot;$&quot;#,##0.00"/>
    <numFmt numFmtId="169" formatCode="&quot;$&quot;#,##0"/>
    <numFmt numFmtId="170" formatCode="#."/>
    <numFmt numFmtId="171" formatCode="m\o\n\th\ d\,\ yyyy"/>
    <numFmt numFmtId="172" formatCode="#.00"/>
    <numFmt numFmtId="173" formatCode="[Red]&quot;E: &quot;#,##0;[Red]&quot;E: &quot;\-#,##0;[Blue]&quot;OK&quot;"/>
    <numFmt numFmtId="174" formatCode="0.0%"/>
    <numFmt numFmtId="175" formatCode="&quot;$&quot;#,##0.0"/>
    <numFmt numFmtId="176" formatCode="0.000"/>
    <numFmt numFmtId="177" formatCode="\$#,##0;\$#,##0"/>
    <numFmt numFmtId="178" formatCode="_(\$* #,##0.00_);_(\$* \(#,##0.00\);_(\$* \-??_);_(@_)"/>
    <numFmt numFmtId="179" formatCode="_(* #,##0.0_);_(* \(#,##0.0\);_(* &quot;-&quot;?_);_(@_)"/>
    <numFmt numFmtId="180" formatCode="&quot;$&quot;#,##0.00;\-&quot;$&quot;#,##0.00"/>
    <numFmt numFmtId="181" formatCode="mm\-dd\-yyyy"/>
    <numFmt numFmtId="182" formatCode="_(* #,##0.000_);_(* \(#,##0.000\);_(* &quot;-&quot;??_);_(@_)"/>
    <numFmt numFmtId="183" formatCode="0.00000"/>
    <numFmt numFmtId="184" formatCode="0.0000"/>
  </numFmts>
  <fonts count="78"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u/>
      <sz val="11"/>
      <color theme="10"/>
      <name val="Calibri"/>
      <family val="2"/>
      <scheme val="minor"/>
    </font>
    <font>
      <sz val="11"/>
      <color indexed="8"/>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00000"/>
      <name val="Times New Roman"/>
      <family val="1"/>
    </font>
    <font>
      <sz val="12"/>
      <color theme="1"/>
      <name val="Times New Roman"/>
      <family val="2"/>
    </font>
    <font>
      <sz val="10"/>
      <color rgb="FFFF0000"/>
      <name val="Arial"/>
      <family val="2"/>
    </font>
    <font>
      <sz val="10"/>
      <color indexed="10"/>
      <name val="Arial"/>
      <family val="2"/>
    </font>
    <font>
      <sz val="1"/>
      <color indexed="8"/>
      <name val="Courier"/>
      <family val="3"/>
    </font>
    <font>
      <b/>
      <sz val="13"/>
      <color theme="0"/>
      <name val="Calibri"/>
      <family val="2"/>
    </font>
    <font>
      <sz val="11"/>
      <color indexed="8"/>
      <name val="Calibri"/>
      <family val="2"/>
    </font>
    <font>
      <sz val="11"/>
      <color indexed="9"/>
      <name val="Calibri"/>
      <family val="2"/>
    </font>
    <font>
      <sz val="8"/>
      <name val="Arial"/>
      <family val="2"/>
    </font>
    <font>
      <b/>
      <sz val="11"/>
      <color indexed="8"/>
      <name val="Calibri"/>
      <family val="2"/>
    </font>
    <font>
      <b/>
      <sz val="1"/>
      <color indexed="8"/>
      <name val="Courier"/>
      <family val="3"/>
    </font>
    <font>
      <u/>
      <sz val="11"/>
      <color theme="10"/>
      <name val="Calibri"/>
      <family val="2"/>
    </font>
    <font>
      <sz val="10"/>
      <name val="Helv"/>
    </font>
    <font>
      <b/>
      <sz val="10"/>
      <color indexed="8"/>
      <name val="Arial"/>
      <family val="2"/>
    </font>
    <font>
      <b/>
      <sz val="10"/>
      <color indexed="39"/>
      <name val="Arial"/>
      <family val="2"/>
    </font>
    <font>
      <sz val="10"/>
      <color indexed="8"/>
      <name val="Arial"/>
      <family val="2"/>
    </font>
    <font>
      <b/>
      <sz val="12"/>
      <color indexed="8"/>
      <name val="Arial"/>
      <family val="2"/>
    </font>
    <font>
      <b/>
      <sz val="8"/>
      <name val="Arial"/>
      <family val="2"/>
    </font>
    <font>
      <sz val="10"/>
      <color indexed="39"/>
      <name val="Arial"/>
      <family val="2"/>
    </font>
    <font>
      <sz val="19"/>
      <color indexed="48"/>
      <name val="Arial"/>
      <family val="2"/>
    </font>
    <font>
      <b/>
      <sz val="18"/>
      <color indexed="62"/>
      <name val="Cambria"/>
      <family val="2"/>
    </font>
    <font>
      <sz val="8"/>
      <name val="Helv"/>
    </font>
    <font>
      <sz val="10"/>
      <name val="Calibri"/>
      <family val="2"/>
    </font>
    <font>
      <sz val="11"/>
      <name val="Calibri"/>
      <family val="2"/>
      <scheme val="minor"/>
    </font>
    <font>
      <b/>
      <sz val="11"/>
      <name val="Calibri"/>
      <family val="2"/>
      <scheme val="minor"/>
    </font>
    <font>
      <sz val="8"/>
      <name val="Calibri"/>
      <family val="2"/>
      <scheme val="minor"/>
    </font>
    <font>
      <sz val="10"/>
      <color theme="1"/>
      <name val="Calibri"/>
      <family val="2"/>
      <scheme val="minor"/>
    </font>
    <font>
      <sz val="10"/>
      <color rgb="FF000000"/>
      <name val="Calibri"/>
      <family val="2"/>
      <scheme val="minor"/>
    </font>
    <font>
      <b/>
      <sz val="10"/>
      <color rgb="FF000000"/>
      <name val="Times New Roman"/>
      <family val="1"/>
    </font>
    <font>
      <sz val="11"/>
      <color rgb="FF000000"/>
      <name val="Calibri"/>
      <family val="2"/>
      <scheme val="minor"/>
    </font>
    <font>
      <b/>
      <sz val="11"/>
      <color rgb="FF000000"/>
      <name val="Calibri"/>
      <family val="2"/>
      <scheme val="minor"/>
    </font>
    <font>
      <sz val="10"/>
      <name val="Calibri"/>
      <family val="2"/>
      <scheme val="minor"/>
    </font>
    <font>
      <i/>
      <sz val="11"/>
      <name val="Calibri"/>
      <family val="2"/>
      <scheme val="minor"/>
    </font>
    <font>
      <sz val="10"/>
      <color rgb="FFFF0000"/>
      <name val="Calibri"/>
      <family val="2"/>
      <scheme val="minor"/>
    </font>
    <font>
      <sz val="9"/>
      <color rgb="FFFF0000"/>
      <name val="Calibri"/>
      <family val="2"/>
      <scheme val="minor"/>
    </font>
    <font>
      <sz val="10"/>
      <name val="Arial"/>
      <family val="2"/>
    </font>
    <font>
      <sz val="11"/>
      <color rgb="FFFF0000"/>
      <name val="Calibri"/>
      <family val="2"/>
    </font>
    <font>
      <sz val="10"/>
      <color rgb="FF000000"/>
      <name val="Times New Roman"/>
      <family val="1"/>
    </font>
    <font>
      <b/>
      <sz val="10"/>
      <color rgb="FF000000"/>
      <name val="Calibri"/>
      <family val="2"/>
      <scheme val="minor"/>
    </font>
    <font>
      <u/>
      <sz val="10"/>
      <color rgb="FF000000"/>
      <name val="Calibri"/>
      <family val="2"/>
      <scheme val="minor"/>
    </font>
    <font>
      <sz val="9"/>
      <color rgb="FF000000"/>
      <name val="Arial"/>
      <family val="2"/>
    </font>
    <font>
      <u/>
      <sz val="11"/>
      <color rgb="FF000000"/>
      <name val="Calibri"/>
      <family val="2"/>
      <scheme val="minor"/>
    </font>
    <font>
      <sz val="10"/>
      <color rgb="FF000000"/>
      <name val="Arial"/>
      <family val="2"/>
    </font>
    <font>
      <b/>
      <sz val="10"/>
      <color rgb="FF000000"/>
      <name val="Arial"/>
      <family val="2"/>
    </font>
    <font>
      <sz val="12"/>
      <name val="Calibri"/>
      <family val="2"/>
    </font>
    <font>
      <sz val="11"/>
      <name val="Calibri"/>
      <family val="2"/>
    </font>
    <font>
      <b/>
      <sz val="10"/>
      <name val="Calibri"/>
      <family val="2"/>
      <scheme val="minor"/>
    </font>
    <font>
      <vertAlign val="subscript"/>
      <sz val="10"/>
      <name val="Calibri"/>
      <family val="2"/>
      <scheme val="minor"/>
    </font>
    <font>
      <vertAlign val="subscript"/>
      <sz val="10"/>
      <name val="Calibri"/>
      <family val="2"/>
    </font>
    <font>
      <sz val="9"/>
      <name val="Calibri"/>
      <family val="2"/>
      <scheme val="minor"/>
    </font>
    <font>
      <sz val="9"/>
      <name val="Arial"/>
      <family val="2"/>
    </font>
    <font>
      <u/>
      <sz val="11"/>
      <name val="Calibri"/>
      <family val="2"/>
      <scheme val="minor"/>
    </font>
    <font>
      <sz val="20"/>
      <name val="Calibri"/>
      <family val="2"/>
      <scheme val="minor"/>
    </font>
    <font>
      <b/>
      <sz val="10"/>
      <name val="Arial"/>
      <family val="2"/>
    </font>
    <font>
      <u/>
      <sz val="10"/>
      <name val="Arial"/>
      <family val="2"/>
    </font>
    <font>
      <b/>
      <sz val="11"/>
      <name val="Calibri"/>
      <family val="2"/>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7626E"/>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theme="6" tint="0.59999389629810485"/>
        <bgColor indexed="64"/>
      </patternFill>
    </fill>
    <fill>
      <patternFill patternType="solid">
        <fgColor rgb="FFF2F2F2"/>
        <bgColor rgb="FF000000"/>
      </patternFill>
    </fill>
    <fill>
      <patternFill patternType="solid">
        <fgColor rgb="FFD9E1F2"/>
        <bgColor rgb="FF000000"/>
      </patternFill>
    </fill>
    <fill>
      <patternFill patternType="solid">
        <fgColor rgb="FFFFFFFF"/>
        <bgColor rgb="FF000000"/>
      </patternFill>
    </fill>
    <fill>
      <patternFill patternType="solid">
        <fgColor theme="0"/>
        <bgColor indexed="64"/>
      </patternFill>
    </fill>
    <fill>
      <patternFill patternType="solid">
        <fgColor theme="6"/>
        <bgColor indexed="64"/>
      </patternFill>
    </fill>
    <fill>
      <patternFill patternType="solid">
        <fgColor rgb="FFF2F2F2"/>
        <bgColor indexed="64"/>
      </patternFill>
    </fill>
    <fill>
      <patternFill patternType="solid">
        <fgColor theme="0" tint="-0.34998626667073579"/>
        <bgColor indexed="64"/>
      </patternFill>
    </fill>
    <fill>
      <patternFill patternType="solid">
        <fgColor rgb="FFFFFF00"/>
        <bgColor indexed="64"/>
      </patternFill>
    </fill>
  </fills>
  <borders count="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medium">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auto="1"/>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style="thin">
        <color indexed="64"/>
      </right>
      <top style="thin">
        <color indexed="64"/>
      </top>
      <bottom style="thin">
        <color rgb="FF000000"/>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rgb="FF000000"/>
      </left>
      <right style="thin">
        <color rgb="FF000000"/>
      </right>
      <top style="medium">
        <color indexed="64"/>
      </top>
      <bottom style="thin">
        <color rgb="FF000000"/>
      </bottom>
      <diagonal/>
    </border>
    <border>
      <left style="thin">
        <color indexed="64"/>
      </left>
      <right style="medium">
        <color indexed="64"/>
      </right>
      <top style="medium">
        <color indexed="64"/>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auto="1"/>
      </left>
      <right/>
      <top style="medium">
        <color auto="1"/>
      </top>
      <bottom/>
      <diagonal/>
    </border>
    <border>
      <left/>
      <right/>
      <top style="thin">
        <color indexed="64"/>
      </top>
      <bottom style="medium">
        <color indexed="64"/>
      </bottom>
      <diagonal/>
    </border>
    <border>
      <left/>
      <right/>
      <top style="thin">
        <color theme="6" tint="0.39997558519241921"/>
      </top>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medium">
        <color indexed="64"/>
      </bottom>
      <diagonal/>
    </border>
  </borders>
  <cellStyleXfs count="478">
    <xf numFmtId="0" fontId="0" fillId="0" borderId="0"/>
    <xf numFmtId="44"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5" fillId="0" borderId="0"/>
    <xf numFmtId="0" fontId="7" fillId="0" borderId="0" applyNumberFormat="0" applyFill="0" applyBorder="0" applyAlignment="0" applyProtection="0"/>
    <xf numFmtId="0" fontId="8" fillId="0" borderId="6" applyNumberFormat="0" applyFill="0" applyAlignment="0" applyProtection="0"/>
    <xf numFmtId="0" fontId="9" fillId="0" borderId="7" applyNumberFormat="0" applyFill="0" applyAlignment="0" applyProtection="0"/>
    <xf numFmtId="0" fontId="10" fillId="0" borderId="8"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9" applyNumberFormat="0" applyAlignment="0" applyProtection="0"/>
    <xf numFmtId="0" fontId="15" fillId="6" borderId="10" applyNumberFormat="0" applyAlignment="0" applyProtection="0"/>
    <xf numFmtId="0" fontId="16" fillId="6" borderId="9" applyNumberFormat="0" applyAlignment="0" applyProtection="0"/>
    <xf numFmtId="0" fontId="17" fillId="0" borderId="11" applyNumberFormat="0" applyFill="0" applyAlignment="0" applyProtection="0"/>
    <xf numFmtId="0" fontId="18" fillId="7" borderId="12" applyNumberFormat="0" applyAlignment="0" applyProtection="0"/>
    <xf numFmtId="0" fontId="19" fillId="0" borderId="0" applyNumberFormat="0" applyFill="0" applyBorder="0" applyAlignment="0" applyProtection="0"/>
    <xf numFmtId="0" fontId="1" fillId="8" borderId="13" applyNumberFormat="0" applyFont="0" applyAlignment="0" applyProtection="0"/>
    <xf numFmtId="0" fontId="20" fillId="0" borderId="0" applyNumberFormat="0" applyFill="0" applyBorder="0" applyAlignment="0" applyProtection="0"/>
    <xf numFmtId="0" fontId="2" fillId="0" borderId="14"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1" fillId="32" borderId="0" applyNumberFormat="0" applyBorder="0" applyAlignment="0" applyProtection="0"/>
    <xf numFmtId="0" fontId="6" fillId="0" borderId="0"/>
    <xf numFmtId="0" fontId="22" fillId="0" borderId="0"/>
    <xf numFmtId="0" fontId="6"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6" fillId="0" borderId="0"/>
    <xf numFmtId="0" fontId="22" fillId="0" borderId="0"/>
    <xf numFmtId="0" fontId="23" fillId="0" borderId="0"/>
    <xf numFmtId="0" fontId="22" fillId="0" borderId="0"/>
    <xf numFmtId="0" fontId="22" fillId="0" borderId="0"/>
    <xf numFmtId="0" fontId="23" fillId="0" borderId="0"/>
    <xf numFmtId="0" fontId="23" fillId="0" borderId="0"/>
    <xf numFmtId="0" fontId="23"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2" fillId="0" borderId="0"/>
    <xf numFmtId="0" fontId="6" fillId="0" borderId="0"/>
    <xf numFmtId="0" fontId="22" fillId="0" borderId="0"/>
    <xf numFmtId="0" fontId="6" fillId="0" borderId="0"/>
    <xf numFmtId="0" fontId="22" fillId="0" borderId="0"/>
    <xf numFmtId="0" fontId="23" fillId="0" borderId="0"/>
    <xf numFmtId="0" fontId="6" fillId="0" borderId="0"/>
    <xf numFmtId="0" fontId="1"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173" fontId="44" fillId="0" borderId="0">
      <alignment horizontal="center" vertical="center"/>
    </xf>
    <xf numFmtId="0" fontId="7" fillId="0" borderId="0" applyNumberFormat="0" applyFill="0" applyBorder="0" applyAlignment="0" applyProtection="0"/>
    <xf numFmtId="0" fontId="43" fillId="0" borderId="0">
      <alignment horizontal="left"/>
    </xf>
    <xf numFmtId="0" fontId="42" fillId="0" borderId="0" applyNumberFormat="0" applyFill="0" applyBorder="0" applyAlignment="0" applyProtection="0"/>
    <xf numFmtId="4" fontId="25" fillId="60" borderId="18" applyNumberFormat="0" applyProtection="0">
      <alignment horizontal="right" vertical="center"/>
    </xf>
    <xf numFmtId="0" fontId="30" fillId="66" borderId="4"/>
    <xf numFmtId="4" fontId="41" fillId="65" borderId="0" applyNumberFormat="0" applyProtection="0">
      <alignment horizontal="left" vertical="center" indent="1"/>
    </xf>
    <xf numFmtId="0" fontId="37" fillId="49" borderId="18" applyNumberFormat="0" applyProtection="0">
      <alignment horizontal="left" vertical="top" indent="1"/>
    </xf>
    <xf numFmtId="4" fontId="37" fillId="49" borderId="18" applyNumberFormat="0" applyProtection="0">
      <alignment horizontal="left" vertical="center" indent="1"/>
    </xf>
    <xf numFmtId="4" fontId="40" fillId="60" borderId="18" applyNumberFormat="0" applyProtection="0">
      <alignment horizontal="right" vertical="center"/>
    </xf>
    <xf numFmtId="4" fontId="37" fillId="60" borderId="18" applyNumberFormat="0" applyProtection="0">
      <alignment horizontal="right" vertical="center"/>
    </xf>
    <xf numFmtId="0" fontId="37" fillId="64" borderId="18" applyNumberFormat="0" applyProtection="0">
      <alignment horizontal="left" vertical="top" indent="1"/>
    </xf>
    <xf numFmtId="4" fontId="37" fillId="64" borderId="18" applyNumberFormat="0" applyProtection="0">
      <alignment horizontal="left" vertical="center" indent="1"/>
    </xf>
    <xf numFmtId="4" fontId="40" fillId="64" borderId="18" applyNumberFormat="0" applyProtection="0">
      <alignment vertical="center"/>
    </xf>
    <xf numFmtId="4" fontId="37" fillId="64" borderId="18" applyNumberFormat="0" applyProtection="0">
      <alignment vertical="center"/>
    </xf>
    <xf numFmtId="0" fontId="39" fillId="61" borderId="20" applyBorder="0"/>
    <xf numFmtId="0" fontId="6" fillId="63" borderId="4" applyNumberFormat="0">
      <protection locked="0"/>
    </xf>
    <xf numFmtId="0" fontId="6" fillId="60" borderId="18" applyNumberFormat="0" applyProtection="0">
      <alignment horizontal="left" vertical="top" indent="1"/>
    </xf>
    <xf numFmtId="0" fontId="6" fillId="60" borderId="18" applyNumberFormat="0" applyProtection="0">
      <alignment horizontal="left" vertical="center" indent="1"/>
    </xf>
    <xf numFmtId="0" fontId="6" fillId="62" borderId="18" applyNumberFormat="0" applyProtection="0">
      <alignment horizontal="left" vertical="top" indent="1"/>
    </xf>
    <xf numFmtId="0" fontId="6" fillId="62" borderId="18" applyNumberFormat="0" applyProtection="0">
      <alignment horizontal="left" vertical="center" indent="1"/>
    </xf>
    <xf numFmtId="0" fontId="6" fillId="49" borderId="18" applyNumberFormat="0" applyProtection="0">
      <alignment horizontal="left" vertical="top" indent="1"/>
    </xf>
    <xf numFmtId="0" fontId="6" fillId="49" borderId="18" applyNumberFormat="0" applyProtection="0">
      <alignment horizontal="left" vertical="center" indent="1"/>
    </xf>
    <xf numFmtId="0" fontId="6" fillId="61" borderId="18" applyNumberFormat="0" applyProtection="0">
      <alignment horizontal="left" vertical="top" indent="1"/>
    </xf>
    <xf numFmtId="0" fontId="6" fillId="61" borderId="18" applyNumberFormat="0" applyProtection="0">
      <alignment horizontal="left" vertical="center" indent="1"/>
    </xf>
    <xf numFmtId="4" fontId="37" fillId="49" borderId="0" applyNumberFormat="0" applyProtection="0">
      <alignment horizontal="left" vertical="center" indent="1"/>
    </xf>
    <xf numFmtId="4" fontId="37" fillId="60" borderId="0" applyNumberFormat="0" applyProtection="0">
      <alignment horizontal="left" vertical="center" indent="1"/>
    </xf>
    <xf numFmtId="4" fontId="37" fillId="49" borderId="18" applyNumberFormat="0" applyProtection="0">
      <alignment horizontal="right" vertical="center"/>
    </xf>
    <xf numFmtId="4" fontId="38" fillId="61" borderId="0" applyNumberFormat="0" applyProtection="0">
      <alignment horizontal="left" vertical="center" indent="1"/>
    </xf>
    <xf numFmtId="4" fontId="37" fillId="60" borderId="0" applyNumberFormat="0" applyProtection="0">
      <alignment horizontal="left" vertical="center" indent="1"/>
    </xf>
    <xf numFmtId="4" fontId="35" fillId="59" borderId="19" applyNumberFormat="0" applyProtection="0">
      <alignment horizontal="left" vertical="center" indent="1"/>
    </xf>
    <xf numFmtId="4" fontId="37" fillId="58" borderId="18" applyNumberFormat="0" applyProtection="0">
      <alignment horizontal="right" vertical="center"/>
    </xf>
    <xf numFmtId="4" fontId="37" fillId="57" borderId="18" applyNumberFormat="0" applyProtection="0">
      <alignment horizontal="right" vertical="center"/>
    </xf>
    <xf numFmtId="4" fontId="37" fillId="56" borderId="18" applyNumberFormat="0" applyProtection="0">
      <alignment horizontal="right" vertical="center"/>
    </xf>
    <xf numFmtId="4" fontId="37" fillId="55" borderId="18" applyNumberFormat="0" applyProtection="0">
      <alignment horizontal="right" vertical="center"/>
    </xf>
    <xf numFmtId="4" fontId="37" fillId="54" borderId="18" applyNumberFormat="0" applyProtection="0">
      <alignment horizontal="right" vertical="center"/>
    </xf>
    <xf numFmtId="4" fontId="37" fillId="53" borderId="18" applyNumberFormat="0" applyProtection="0">
      <alignment horizontal="right" vertical="center"/>
    </xf>
    <xf numFmtId="4" fontId="37" fillId="52" borderId="18" applyNumberFormat="0" applyProtection="0">
      <alignment horizontal="right" vertical="center"/>
    </xf>
    <xf numFmtId="4" fontId="37" fillId="51" borderId="18" applyNumberFormat="0" applyProtection="0">
      <alignment horizontal="right" vertical="center"/>
    </xf>
    <xf numFmtId="4" fontId="37" fillId="50" borderId="18" applyNumberFormat="0" applyProtection="0">
      <alignment horizontal="right" vertical="center"/>
    </xf>
    <xf numFmtId="4" fontId="35" fillId="49" borderId="0" applyNumberFormat="0" applyProtection="0">
      <alignment horizontal="left" vertical="center" indent="1"/>
    </xf>
    <xf numFmtId="0" fontId="35" fillId="48" borderId="18" applyNumberFormat="0" applyProtection="0">
      <alignment horizontal="left" vertical="top" indent="1"/>
    </xf>
    <xf numFmtId="4" fontId="35" fillId="48" borderId="18" applyNumberFormat="0" applyProtection="0">
      <alignment horizontal="left" vertical="center" indent="1"/>
    </xf>
    <xf numFmtId="4" fontId="36" fillId="48" borderId="18" applyNumberFormat="0" applyProtection="0">
      <alignment vertical="center"/>
    </xf>
    <xf numFmtId="4" fontId="35" fillId="48" borderId="18" applyNumberFormat="0" applyProtection="0">
      <alignment vertical="center"/>
    </xf>
    <xf numFmtId="9" fontId="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6" fillId="0" borderId="0" applyFont="0" applyFill="0" applyBorder="0" applyAlignment="0" applyProtection="0"/>
    <xf numFmtId="43" fontId="6" fillId="0" borderId="0" applyFont="0" applyFill="0" applyBorder="0" applyAlignment="0" applyProtection="0"/>
    <xf numFmtId="0" fontId="33" fillId="0" borderId="0" applyNumberFormat="0" applyFill="0" applyBorder="0" applyAlignment="0" applyProtection="0">
      <alignment vertical="top"/>
      <protection locked="0"/>
    </xf>
    <xf numFmtId="0" fontId="4" fillId="0" borderId="0" applyNumberFormat="0" applyFill="0" applyBorder="0" applyAlignment="0" applyProtection="0"/>
    <xf numFmtId="170" fontId="32" fillId="0" borderId="0">
      <protection locked="0"/>
    </xf>
    <xf numFmtId="170" fontId="32" fillId="0" borderId="0">
      <protection locked="0"/>
    </xf>
    <xf numFmtId="172" fontId="26" fillId="0" borderId="0">
      <protection locked="0"/>
    </xf>
    <xf numFmtId="0" fontId="31" fillId="47" borderId="0" applyNumberFormat="0" applyBorder="0" applyAlignment="0" applyProtection="0"/>
    <xf numFmtId="0" fontId="31" fillId="46" borderId="0" applyNumberFormat="0" applyBorder="0" applyAlignment="0" applyProtection="0"/>
    <xf numFmtId="0" fontId="31" fillId="45" borderId="0" applyNumberFormat="0" applyBorder="0" applyAlignment="0" applyProtection="0"/>
    <xf numFmtId="171" fontId="26" fillId="0" borderId="0">
      <protection locked="0"/>
    </xf>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29" fillId="44" borderId="0" applyNumberFormat="0" applyBorder="0" applyAlignment="0" applyProtection="0"/>
    <xf numFmtId="0" fontId="28" fillId="38" borderId="0" applyNumberFormat="0" applyBorder="0" applyAlignment="0" applyProtection="0"/>
    <xf numFmtId="0" fontId="28" fillId="43" borderId="0" applyNumberFormat="0" applyBorder="0" applyAlignment="0" applyProtection="0"/>
    <xf numFmtId="0" fontId="29" fillId="35" borderId="0" applyNumberFormat="0" applyBorder="0" applyAlignment="0" applyProtection="0"/>
    <xf numFmtId="0" fontId="28" fillId="35" borderId="0" applyNumberFormat="0" applyBorder="0" applyAlignment="0" applyProtection="0"/>
    <xf numFmtId="0" fontId="28" fillId="34" borderId="0" applyNumberFormat="0" applyBorder="0" applyAlignment="0" applyProtection="0"/>
    <xf numFmtId="0" fontId="29" fillId="42"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9" fillId="42"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9" fillId="39"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9" fillId="36" borderId="0" applyNumberFormat="0" applyBorder="0" applyAlignment="0" applyProtection="0"/>
    <xf numFmtId="0" fontId="28" fillId="35" borderId="0" applyNumberFormat="0" applyBorder="0" applyAlignment="0" applyProtection="0"/>
    <xf numFmtId="0" fontId="28" fillId="34" borderId="0" applyNumberFormat="0" applyBorder="0" applyAlignment="0" applyProtection="0"/>
    <xf numFmtId="0" fontId="27" fillId="33" borderId="0" applyProtection="0">
      <alignment vertical="center"/>
    </xf>
    <xf numFmtId="170" fontId="26" fillId="0" borderId="0">
      <protection locked="0"/>
    </xf>
    <xf numFmtId="178" fontId="6" fillId="0" borderId="0" applyFill="0" applyBorder="0" applyAlignment="0" applyProtection="0"/>
    <xf numFmtId="0" fontId="57" fillId="0" borderId="0"/>
  </cellStyleXfs>
  <cellXfs count="521">
    <xf numFmtId="0" fontId="0" fillId="0" borderId="0" xfId="0"/>
    <xf numFmtId="0" fontId="2" fillId="0" borderId="0" xfId="0" applyFont="1"/>
    <xf numFmtId="0" fontId="5" fillId="0" borderId="0" xfId="5"/>
    <xf numFmtId="0" fontId="45" fillId="0" borderId="0" xfId="0" applyFont="1"/>
    <xf numFmtId="0" fontId="0" fillId="0" borderId="0" xfId="0" applyAlignment="1">
      <alignment vertical="center"/>
    </xf>
    <xf numFmtId="0" fontId="46" fillId="0" borderId="0" xfId="0" applyFont="1"/>
    <xf numFmtId="0" fontId="2" fillId="0" borderId="28" xfId="0" applyFont="1" applyBorder="1" applyAlignment="1">
      <alignment horizontal="center" vertical="center" wrapText="1"/>
    </xf>
    <xf numFmtId="0" fontId="50" fillId="0" borderId="0" xfId="0" applyFont="1" applyAlignment="1">
      <alignment horizontal="center" vertical="center" wrapText="1"/>
    </xf>
    <xf numFmtId="0" fontId="51" fillId="0" borderId="0" xfId="0" applyFont="1"/>
    <xf numFmtId="0" fontId="50" fillId="0" borderId="29" xfId="0" applyFont="1" applyBorder="1" applyAlignment="1">
      <alignment horizontal="center" vertical="center" wrapText="1"/>
    </xf>
    <xf numFmtId="0" fontId="50" fillId="0" borderId="30" xfId="0" applyFont="1" applyBorder="1" applyAlignment="1">
      <alignment horizontal="center" vertical="center" wrapText="1"/>
    </xf>
    <xf numFmtId="0" fontId="50" fillId="0" borderId="31" xfId="0" applyFont="1" applyBorder="1" applyAlignment="1">
      <alignment horizontal="center" vertical="center" wrapText="1"/>
    </xf>
    <xf numFmtId="0" fontId="50" fillId="0" borderId="33"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34" xfId="0" applyFont="1" applyBorder="1" applyAlignment="1">
      <alignment horizontal="center" vertical="center" wrapText="1"/>
    </xf>
    <xf numFmtId="0" fontId="50" fillId="0" borderId="36" xfId="0" applyFont="1" applyBorder="1" applyAlignment="1">
      <alignment horizontal="center" vertical="center" wrapText="1"/>
    </xf>
    <xf numFmtId="0" fontId="19" fillId="0" borderId="0" xfId="0" applyFont="1"/>
    <xf numFmtId="9" fontId="0" fillId="0" borderId="0" xfId="4" applyFont="1"/>
    <xf numFmtId="0" fontId="46" fillId="0" borderId="28" xfId="0" applyFont="1" applyBorder="1" applyAlignment="1">
      <alignment horizontal="center" vertical="center" wrapText="1"/>
    </xf>
    <xf numFmtId="0" fontId="51" fillId="0" borderId="28" xfId="0" applyFont="1" applyBorder="1"/>
    <xf numFmtId="3" fontId="51" fillId="0" borderId="28" xfId="0" applyNumberFormat="1" applyFont="1" applyBorder="1"/>
    <xf numFmtId="0" fontId="51" fillId="0" borderId="28" xfId="0" applyFont="1" applyBorder="1" applyAlignment="1">
      <alignment horizontal="center"/>
    </xf>
    <xf numFmtId="0" fontId="48" fillId="0" borderId="0" xfId="0" applyFont="1"/>
    <xf numFmtId="175" fontId="45" fillId="0" borderId="28" xfId="0" applyNumberFormat="1" applyFont="1" applyBorder="1" applyAlignment="1">
      <alignment horizontal="center" vertical="center" wrapText="1"/>
    </xf>
    <xf numFmtId="0" fontId="46" fillId="0" borderId="28" xfId="0" applyFont="1" applyBorder="1" applyAlignment="1">
      <alignment vertical="center" wrapText="1"/>
    </xf>
    <xf numFmtId="175" fontId="45" fillId="0" borderId="28" xfId="0" applyNumberFormat="1" applyFont="1" applyBorder="1" applyAlignment="1">
      <alignment vertical="center" wrapText="1"/>
    </xf>
    <xf numFmtId="175" fontId="45" fillId="0" borderId="28" xfId="0" applyNumberFormat="1" applyFont="1" applyBorder="1" applyAlignment="1">
      <alignment horizontal="right" vertical="center" wrapText="1"/>
    </xf>
    <xf numFmtId="0" fontId="45" fillId="0" borderId="28" xfId="0" applyFont="1" applyBorder="1" applyAlignment="1">
      <alignment vertical="center" wrapText="1"/>
    </xf>
    <xf numFmtId="2" fontId="46" fillId="0" borderId="28" xfId="0" applyNumberFormat="1" applyFont="1" applyBorder="1" applyAlignment="1">
      <alignment horizontal="center" vertical="center" wrapText="1"/>
    </xf>
    <xf numFmtId="175" fontId="45" fillId="0" borderId="28" xfId="0" applyNumberFormat="1" applyFont="1" applyBorder="1" applyAlignment="1">
      <alignment horizontal="center" vertical="center"/>
    </xf>
    <xf numFmtId="0" fontId="49" fillId="0" borderId="28" xfId="0" applyFont="1" applyBorder="1" applyAlignment="1">
      <alignment vertical="center" wrapText="1"/>
    </xf>
    <xf numFmtId="0" fontId="0" fillId="0" borderId="0" xfId="0" applyAlignment="1">
      <alignment horizontal="center" vertical="center"/>
    </xf>
    <xf numFmtId="0" fontId="2" fillId="0" borderId="0" xfId="0" applyFont="1" applyAlignment="1">
      <alignment vertical="center"/>
    </xf>
    <xf numFmtId="0" fontId="2" fillId="0" borderId="0" xfId="0" applyFont="1" applyAlignment="1">
      <alignment vertical="center" wrapText="1"/>
    </xf>
    <xf numFmtId="0" fontId="52" fillId="0" borderId="0" xfId="0" applyFont="1"/>
    <xf numFmtId="0" fontId="52" fillId="0" borderId="28" xfId="0" applyFont="1" applyBorder="1" applyAlignment="1">
      <alignment horizontal="center"/>
    </xf>
    <xf numFmtId="0" fontId="52" fillId="0" borderId="28" xfId="0" applyFont="1" applyBorder="1"/>
    <xf numFmtId="0" fontId="22" fillId="0" borderId="0" xfId="0" applyFont="1" applyAlignment="1">
      <alignment horizontal="left" vertical="top" wrapText="1"/>
    </xf>
    <xf numFmtId="0" fontId="22" fillId="0" borderId="30" xfId="0" applyFont="1" applyBorder="1" applyAlignment="1">
      <alignment horizontal="right" vertical="top" wrapText="1"/>
    </xf>
    <xf numFmtId="0" fontId="22" fillId="0" borderId="0" xfId="0" applyFont="1" applyAlignment="1">
      <alignment horizontal="right" vertical="top" wrapText="1"/>
    </xf>
    <xf numFmtId="0" fontId="22" fillId="0" borderId="35" xfId="0" applyFont="1" applyBorder="1" applyAlignment="1">
      <alignment horizontal="right" vertical="top" wrapText="1"/>
    </xf>
    <xf numFmtId="4" fontId="22" fillId="0" borderId="30" xfId="0" applyNumberFormat="1" applyFont="1" applyBorder="1" applyAlignment="1">
      <alignment horizontal="right" vertical="top" wrapText="1"/>
    </xf>
    <xf numFmtId="9" fontId="51" fillId="0" borderId="0" xfId="4" applyFont="1"/>
    <xf numFmtId="0" fontId="0" fillId="0" borderId="0" xfId="0" quotePrefix="1"/>
    <xf numFmtId="175" fontId="54" fillId="0" borderId="46" xfId="0" applyNumberFormat="1" applyFont="1" applyBorder="1" applyAlignment="1">
      <alignment horizontal="right" vertical="center" wrapText="1"/>
    </xf>
    <xf numFmtId="0" fontId="45" fillId="0" borderId="5" xfId="0" applyFont="1" applyBorder="1" applyAlignment="1">
      <alignment vertical="center" wrapText="1"/>
    </xf>
    <xf numFmtId="175" fontId="45" fillId="0" borderId="5" xfId="0" applyNumberFormat="1" applyFont="1" applyBorder="1" applyAlignment="1">
      <alignment horizontal="center" vertical="center" wrapText="1"/>
    </xf>
    <xf numFmtId="0" fontId="54" fillId="0" borderId="28" xfId="0" applyFont="1" applyBorder="1" applyAlignment="1">
      <alignment horizontal="right" vertical="center" wrapText="1"/>
    </xf>
    <xf numFmtId="175" fontId="54" fillId="0" borderId="28" xfId="0" applyNumberFormat="1" applyFont="1" applyBorder="1" applyAlignment="1">
      <alignment horizontal="center" vertical="center" wrapText="1"/>
    </xf>
    <xf numFmtId="0" fontId="56" fillId="0" borderId="0" xfId="0" applyFont="1"/>
    <xf numFmtId="0" fontId="0" fillId="0" borderId="28" xfId="0" applyBorder="1" applyAlignment="1">
      <alignment vertical="center"/>
    </xf>
    <xf numFmtId="2" fontId="45" fillId="0" borderId="0" xfId="0" applyNumberFormat="1" applyFont="1"/>
    <xf numFmtId="0" fontId="46" fillId="0" borderId="0" xfId="0" applyFont="1" applyAlignment="1">
      <alignment vertical="center"/>
    </xf>
    <xf numFmtId="3" fontId="45" fillId="0" borderId="0" xfId="0" applyNumberFormat="1" applyFont="1"/>
    <xf numFmtId="43" fontId="45" fillId="0" borderId="0" xfId="0" applyNumberFormat="1" applyFont="1"/>
    <xf numFmtId="164" fontId="45" fillId="0" borderId="0" xfId="1" applyNumberFormat="1" applyFont="1" applyFill="1"/>
    <xf numFmtId="164" fontId="45" fillId="0" borderId="0" xfId="0" applyNumberFormat="1" applyFont="1"/>
    <xf numFmtId="166" fontId="52" fillId="0" borderId="28" xfId="3" applyNumberFormat="1" applyFont="1" applyBorder="1"/>
    <xf numFmtId="0" fontId="48" fillId="0" borderId="0" xfId="0" applyFont="1" applyAlignment="1">
      <alignment vertical="center"/>
    </xf>
    <xf numFmtId="0" fontId="55" fillId="0" borderId="0" xfId="0" applyFont="1"/>
    <xf numFmtId="0" fontId="19" fillId="0" borderId="0" xfId="0" applyFont="1" applyAlignment="1">
      <alignment vertical="center" wrapText="1"/>
    </xf>
    <xf numFmtId="0" fontId="57" fillId="0" borderId="0" xfId="477"/>
    <xf numFmtId="1" fontId="57" fillId="0" borderId="0" xfId="477" applyNumberFormat="1" applyAlignment="1">
      <alignment horizontal="right"/>
    </xf>
    <xf numFmtId="14" fontId="57" fillId="0" borderId="0" xfId="477" applyNumberFormat="1" applyAlignment="1">
      <alignment horizontal="center"/>
    </xf>
    <xf numFmtId="2" fontId="57" fillId="0" borderId="0" xfId="477" applyNumberFormat="1" applyAlignment="1">
      <alignment horizontal="right"/>
    </xf>
    <xf numFmtId="180" fontId="57" fillId="0" borderId="0" xfId="477" applyNumberFormat="1" applyAlignment="1">
      <alignment horizontal="right"/>
    </xf>
    <xf numFmtId="0" fontId="53" fillId="0" borderId="0" xfId="0" applyFont="1"/>
    <xf numFmtId="175" fontId="45" fillId="0" borderId="46" xfId="0" applyNumberFormat="1" applyFont="1" applyBorder="1" applyAlignment="1">
      <alignment horizontal="center" vertical="center" wrapText="1"/>
    </xf>
    <xf numFmtId="168" fontId="45" fillId="0" borderId="28" xfId="0" applyNumberFormat="1" applyFont="1" applyBorder="1" applyAlignment="1">
      <alignment horizontal="center" vertical="center" wrapText="1"/>
    </xf>
    <xf numFmtId="0" fontId="49" fillId="0" borderId="28" xfId="0" applyFont="1" applyBorder="1" applyAlignment="1">
      <alignment vertical="center"/>
    </xf>
    <xf numFmtId="0" fontId="55" fillId="0" borderId="28" xfId="0" applyFont="1" applyBorder="1" applyAlignment="1">
      <alignment vertical="center"/>
    </xf>
    <xf numFmtId="0" fontId="19" fillId="0" borderId="21" xfId="0" applyFont="1" applyBorder="1"/>
    <xf numFmtId="0" fontId="58" fillId="0" borderId="28" xfId="0" applyFont="1" applyBorder="1" applyAlignment="1">
      <alignment horizontal="center" vertical="center" wrapText="1"/>
    </xf>
    <xf numFmtId="0" fontId="58" fillId="0" borderId="28" xfId="0" applyFont="1" applyBorder="1" applyAlignment="1">
      <alignment vertical="center"/>
    </xf>
    <xf numFmtId="1" fontId="19" fillId="0" borderId="0" xfId="0" applyNumberFormat="1" applyFont="1"/>
    <xf numFmtId="0" fontId="24" fillId="0" borderId="0" xfId="477" applyFont="1"/>
    <xf numFmtId="0" fontId="59" fillId="0" borderId="0" xfId="0" applyFont="1" applyAlignment="1">
      <alignment wrapText="1"/>
    </xf>
    <xf numFmtId="0" fontId="59" fillId="0" borderId="30" xfId="0" applyFont="1" applyBorder="1" applyAlignment="1">
      <alignment wrapText="1"/>
    </xf>
    <xf numFmtId="0" fontId="59" fillId="0" borderId="35" xfId="0" applyFont="1" applyBorder="1" applyAlignment="1">
      <alignment wrapText="1"/>
    </xf>
    <xf numFmtId="4" fontId="59" fillId="0" borderId="30" xfId="0" applyNumberFormat="1" applyFont="1" applyBorder="1" applyAlignment="1">
      <alignment wrapText="1"/>
    </xf>
    <xf numFmtId="0" fontId="60" fillId="0" borderId="28" xfId="0" applyFont="1" applyBorder="1" applyAlignment="1">
      <alignment horizontal="center" vertical="center"/>
    </xf>
    <xf numFmtId="0" fontId="49" fillId="0" borderId="28" xfId="0" applyFont="1" applyBorder="1" applyAlignment="1">
      <alignment horizontal="left" vertical="center"/>
    </xf>
    <xf numFmtId="9" fontId="49" fillId="0" borderId="28" xfId="4" applyFont="1" applyFill="1" applyBorder="1" applyAlignment="1">
      <alignment vertical="center"/>
    </xf>
    <xf numFmtId="9" fontId="49" fillId="0" borderId="28" xfId="4" applyFont="1" applyBorder="1" applyAlignment="1">
      <alignment vertical="center"/>
    </xf>
    <xf numFmtId="0" fontId="61" fillId="0" borderId="28" xfId="2" applyFont="1" applyFill="1" applyBorder="1" applyAlignment="1">
      <alignment vertical="center"/>
    </xf>
    <xf numFmtId="168" fontId="49" fillId="0" borderId="28" xfId="1" applyNumberFormat="1" applyFont="1" applyFill="1" applyBorder="1" applyAlignment="1">
      <alignment vertical="center"/>
    </xf>
    <xf numFmtId="168" fontId="49" fillId="0" borderId="28" xfId="0" applyNumberFormat="1" applyFont="1" applyBorder="1" applyAlignment="1">
      <alignment vertical="center"/>
    </xf>
    <xf numFmtId="169" fontId="49" fillId="0" borderId="28" xfId="0" applyNumberFormat="1" applyFont="1" applyBorder="1" applyAlignment="1">
      <alignment vertical="center"/>
    </xf>
    <xf numFmtId="0" fontId="52" fillId="0" borderId="0" xfId="0" applyFont="1" applyAlignment="1">
      <alignment horizontal="left"/>
    </xf>
    <xf numFmtId="0" fontId="51" fillId="0" borderId="0" xfId="0" applyFont="1" applyAlignment="1">
      <alignment horizontal="center"/>
    </xf>
    <xf numFmtId="169" fontId="51" fillId="0" borderId="0" xfId="0" applyNumberFormat="1" applyFont="1"/>
    <xf numFmtId="6" fontId="51" fillId="0" borderId="0" xfId="0" applyNumberFormat="1" applyFont="1" applyAlignment="1">
      <alignment horizontal="right"/>
    </xf>
    <xf numFmtId="0" fontId="51" fillId="0" borderId="0" xfId="0" applyFont="1" applyAlignment="1">
      <alignment horizontal="right"/>
    </xf>
    <xf numFmtId="0" fontId="51" fillId="0" borderId="0" xfId="0" applyFont="1" applyAlignment="1">
      <alignment horizontal="left"/>
    </xf>
    <xf numFmtId="9" fontId="51" fillId="0" borderId="0" xfId="4" applyFont="1" applyAlignment="1">
      <alignment horizontal="right"/>
    </xf>
    <xf numFmtId="9" fontId="51" fillId="0" borderId="0" xfId="0" applyNumberFormat="1" applyFont="1"/>
    <xf numFmtId="0" fontId="52" fillId="0" borderId="28" xfId="0" applyFont="1" applyBorder="1" applyAlignment="1">
      <alignment horizontal="center" vertical="center" wrapText="1"/>
    </xf>
    <xf numFmtId="0" fontId="52" fillId="0" borderId="28" xfId="0" applyFont="1" applyBorder="1" applyAlignment="1">
      <alignment horizontal="center" vertical="center"/>
    </xf>
    <xf numFmtId="167" fontId="52" fillId="0" borderId="28" xfId="3" applyNumberFormat="1" applyFont="1" applyBorder="1" applyAlignment="1">
      <alignment horizontal="center" vertical="center" wrapText="1"/>
    </xf>
    <xf numFmtId="167" fontId="52" fillId="0" borderId="0" xfId="3" applyNumberFormat="1" applyFont="1" applyBorder="1" applyAlignment="1">
      <alignment horizontal="center" vertical="center" wrapText="1"/>
    </xf>
    <xf numFmtId="169" fontId="51" fillId="0" borderId="28" xfId="1" applyNumberFormat="1" applyFont="1" applyFill="1" applyBorder="1"/>
    <xf numFmtId="169" fontId="51" fillId="0" borderId="28" xfId="1" applyNumberFormat="1" applyFont="1" applyBorder="1"/>
    <xf numFmtId="169" fontId="51" fillId="0" borderId="0" xfId="1" applyNumberFormat="1" applyFont="1" applyBorder="1"/>
    <xf numFmtId="169" fontId="52" fillId="0" borderId="28" xfId="1" applyNumberFormat="1" applyFont="1" applyBorder="1"/>
    <xf numFmtId="169" fontId="52" fillId="0" borderId="0" xfId="1" applyNumberFormat="1" applyFont="1" applyBorder="1"/>
    <xf numFmtId="0" fontId="62" fillId="0" borderId="28" xfId="0" applyFont="1" applyBorder="1"/>
    <xf numFmtId="0" fontId="63" fillId="0" borderId="0" xfId="2" applyFont="1"/>
    <xf numFmtId="169" fontId="51" fillId="0" borderId="0" xfId="3" applyNumberFormat="1" applyFont="1"/>
    <xf numFmtId="0" fontId="52" fillId="0" borderId="21" xfId="0" applyFont="1" applyBorder="1" applyAlignment="1">
      <alignment horizontal="center" vertical="center" wrapText="1"/>
    </xf>
    <xf numFmtId="3" fontId="52" fillId="0" borderId="28" xfId="0" applyNumberFormat="1" applyFont="1" applyBorder="1" applyAlignment="1">
      <alignment horizontal="center" vertical="center" wrapText="1"/>
    </xf>
    <xf numFmtId="164" fontId="51" fillId="0" borderId="28" xfId="0" applyNumberFormat="1" applyFont="1" applyBorder="1"/>
    <xf numFmtId="169" fontId="52" fillId="0" borderId="28" xfId="3" applyNumberFormat="1" applyFont="1" applyBorder="1"/>
    <xf numFmtId="0" fontId="64" fillId="0" borderId="0" xfId="0" applyFont="1"/>
    <xf numFmtId="0" fontId="65" fillId="0" borderId="0" xfId="0" applyFont="1"/>
    <xf numFmtId="9" fontId="64" fillId="0" borderId="0" xfId="4" applyFont="1"/>
    <xf numFmtId="0" fontId="64" fillId="0" borderId="0" xfId="0" applyFont="1" applyAlignment="1">
      <alignment horizontal="center" vertical="center" wrapText="1"/>
    </xf>
    <xf numFmtId="0" fontId="64" fillId="0" borderId="0" xfId="0" applyFont="1" applyAlignment="1">
      <alignment vertical="center"/>
    </xf>
    <xf numFmtId="164" fontId="64" fillId="0" borderId="0" xfId="1" applyNumberFormat="1" applyFont="1" applyFill="1"/>
    <xf numFmtId="164" fontId="64" fillId="0" borderId="0" xfId="0" applyNumberFormat="1" applyFont="1"/>
    <xf numFmtId="0" fontId="64" fillId="0" borderId="0" xfId="0" applyFont="1" applyAlignment="1">
      <alignment horizontal="right"/>
    </xf>
    <xf numFmtId="174" fontId="64" fillId="0" borderId="0" xfId="0" applyNumberFormat="1" applyFont="1"/>
    <xf numFmtId="0" fontId="65" fillId="0" borderId="0" xfId="0" applyFont="1" applyAlignment="1">
      <alignment horizontal="center" vertical="center" wrapText="1"/>
    </xf>
    <xf numFmtId="0" fontId="65" fillId="0" borderId="28" xfId="0" applyFont="1" applyBorder="1" applyAlignment="1">
      <alignment horizontal="center" vertical="center" wrapText="1"/>
    </xf>
    <xf numFmtId="3" fontId="65" fillId="0" borderId="28" xfId="0" applyNumberFormat="1" applyFont="1" applyBorder="1" applyAlignment="1">
      <alignment horizontal="center" vertical="center" wrapText="1"/>
    </xf>
    <xf numFmtId="0" fontId="64" fillId="0" borderId="28" xfId="0" applyFont="1" applyBorder="1"/>
    <xf numFmtId="169" fontId="64" fillId="71" borderId="28" xfId="0" applyNumberFormat="1" applyFont="1" applyFill="1" applyBorder="1"/>
    <xf numFmtId="169" fontId="64" fillId="0" borderId="28" xfId="0" applyNumberFormat="1" applyFont="1" applyBorder="1"/>
    <xf numFmtId="0" fontId="64" fillId="0" borderId="0" xfId="0" applyFont="1" applyAlignment="1">
      <alignment vertical="top"/>
    </xf>
    <xf numFmtId="0" fontId="65" fillId="0" borderId="28" xfId="0" applyFont="1" applyBorder="1"/>
    <xf numFmtId="169" fontId="65" fillId="0" borderId="28" xfId="0" applyNumberFormat="1" applyFont="1" applyBorder="1"/>
    <xf numFmtId="6" fontId="46" fillId="73" borderId="0" xfId="0" applyNumberFormat="1" applyFont="1" applyFill="1" applyAlignment="1">
      <alignment horizontal="right" vertical="center" wrapText="1"/>
    </xf>
    <xf numFmtId="9" fontId="45" fillId="73" borderId="0" xfId="0" applyNumberFormat="1" applyFont="1" applyFill="1" applyAlignment="1">
      <alignment horizontal="right" vertical="center" wrapText="1"/>
    </xf>
    <xf numFmtId="9" fontId="46" fillId="73" borderId="0" xfId="0" applyNumberFormat="1" applyFont="1" applyFill="1" applyAlignment="1">
      <alignment horizontal="right" vertical="center" wrapText="1"/>
    </xf>
    <xf numFmtId="6" fontId="46" fillId="0" borderId="0" xfId="0" applyNumberFormat="1" applyFont="1" applyAlignment="1">
      <alignment horizontal="right" vertical="center" wrapText="1"/>
    </xf>
    <xf numFmtId="9" fontId="45" fillId="0" borderId="0" xfId="0" applyNumberFormat="1" applyFont="1" applyAlignment="1">
      <alignment horizontal="right" vertical="center" wrapText="1"/>
    </xf>
    <xf numFmtId="9" fontId="46" fillId="0" borderId="0" xfId="0" applyNumberFormat="1" applyFont="1" applyAlignment="1">
      <alignment horizontal="right" vertical="center" wrapText="1"/>
    </xf>
    <xf numFmtId="0" fontId="45" fillId="0" borderId="25" xfId="0" applyFont="1" applyBorder="1" applyAlignment="1">
      <alignment vertical="center" wrapText="1"/>
    </xf>
    <xf numFmtId="6" fontId="45" fillId="0" borderId="25" xfId="0" applyNumberFormat="1" applyFont="1" applyBorder="1" applyAlignment="1">
      <alignment horizontal="right" vertical="center" wrapText="1"/>
    </xf>
    <xf numFmtId="6" fontId="46" fillId="0" borderId="25" xfId="0" applyNumberFormat="1" applyFont="1" applyBorder="1" applyAlignment="1">
      <alignment horizontal="right" vertical="center" wrapText="1"/>
    </xf>
    <xf numFmtId="174" fontId="45" fillId="73" borderId="0" xfId="0" applyNumberFormat="1" applyFont="1" applyFill="1" applyAlignment="1">
      <alignment horizontal="right" vertical="center" wrapText="1"/>
    </xf>
    <xf numFmtId="174" fontId="45" fillId="0" borderId="0" xfId="0" applyNumberFormat="1" applyFont="1" applyAlignment="1">
      <alignment horizontal="right" vertical="center" wrapText="1"/>
    </xf>
    <xf numFmtId="0" fontId="45" fillId="0" borderId="0" xfId="0" applyFont="1" applyAlignment="1">
      <alignment vertical="center"/>
    </xf>
    <xf numFmtId="169" fontId="45" fillId="0" borderId="0" xfId="0" applyNumberFormat="1" applyFont="1" applyAlignment="1">
      <alignment vertical="center"/>
    </xf>
    <xf numFmtId="0" fontId="46" fillId="72" borderId="0" xfId="0" applyFont="1" applyFill="1"/>
    <xf numFmtId="6" fontId="45" fillId="0" borderId="59" xfId="0" applyNumberFormat="1" applyFont="1" applyBorder="1" applyAlignment="1">
      <alignment vertical="center"/>
    </xf>
    <xf numFmtId="169" fontId="45" fillId="0" borderId="0" xfId="0" applyNumberFormat="1" applyFont="1"/>
    <xf numFmtId="6" fontId="45" fillId="0" borderId="0" xfId="0" applyNumberFormat="1" applyFont="1"/>
    <xf numFmtId="6" fontId="46" fillId="0" borderId="0" xfId="0" applyNumberFormat="1" applyFont="1"/>
    <xf numFmtId="0" fontId="45" fillId="0" borderId="0" xfId="0" applyFont="1" applyAlignment="1">
      <alignment horizontal="center"/>
    </xf>
    <xf numFmtId="0" fontId="66" fillId="0" borderId="0" xfId="0" applyFont="1" applyAlignment="1">
      <alignment vertical="center"/>
    </xf>
    <xf numFmtId="0" fontId="45" fillId="0" borderId="0" xfId="0" applyFont="1" applyAlignment="1">
      <alignment horizontal="right"/>
    </xf>
    <xf numFmtId="6" fontId="45" fillId="0" borderId="0" xfId="0" applyNumberFormat="1" applyFont="1" applyAlignment="1">
      <alignment horizontal="right"/>
    </xf>
    <xf numFmtId="0" fontId="46" fillId="0" borderId="0" xfId="0" applyFont="1" applyAlignment="1">
      <alignment horizontal="left" vertical="center" indent="10"/>
    </xf>
    <xf numFmtId="164" fontId="51" fillId="74" borderId="28" xfId="0" applyNumberFormat="1" applyFont="1" applyFill="1" applyBorder="1"/>
    <xf numFmtId="0" fontId="45" fillId="0" borderId="0" xfId="0" applyFont="1" applyAlignment="1">
      <alignment horizontal="center" vertical="center"/>
    </xf>
    <xf numFmtId="0" fontId="45" fillId="0" borderId="0" xfId="0" applyFont="1" applyAlignment="1">
      <alignment horizontal="center" vertical="center" wrapText="1"/>
    </xf>
    <xf numFmtId="6" fontId="45" fillId="0" borderId="0" xfId="0" applyNumberFormat="1" applyFont="1" applyAlignment="1">
      <alignment horizontal="right" vertical="center" wrapText="1"/>
    </xf>
    <xf numFmtId="6" fontId="45" fillId="73" borderId="0" xfId="0" applyNumberFormat="1" applyFont="1" applyFill="1" applyAlignment="1">
      <alignment horizontal="right" vertical="center" wrapText="1"/>
    </xf>
    <xf numFmtId="0" fontId="45" fillId="0" borderId="0" xfId="0" applyFont="1" applyAlignment="1">
      <alignment vertical="center" wrapText="1"/>
    </xf>
    <xf numFmtId="0" fontId="45" fillId="0" borderId="28" xfId="0" applyFont="1" applyBorder="1" applyAlignment="1">
      <alignment horizontal="center" vertical="center" wrapText="1"/>
    </xf>
    <xf numFmtId="0" fontId="67" fillId="0" borderId="28" xfId="0" applyFont="1" applyBorder="1" applyAlignment="1">
      <alignment horizontal="center" vertical="center" wrapText="1"/>
    </xf>
    <xf numFmtId="0" fontId="45" fillId="0" borderId="28" xfId="0" applyFont="1" applyBorder="1" applyAlignment="1">
      <alignment vertical="center"/>
    </xf>
    <xf numFmtId="0" fontId="45" fillId="0" borderId="28" xfId="0" applyFont="1" applyBorder="1" applyAlignment="1">
      <alignment horizontal="center" vertical="center"/>
    </xf>
    <xf numFmtId="0" fontId="67" fillId="0" borderId="28" xfId="0" applyFont="1" applyBorder="1" applyAlignment="1">
      <alignment vertical="center" wrapText="1"/>
    </xf>
    <xf numFmtId="0" fontId="67" fillId="0" borderId="28" xfId="0" applyFont="1" applyBorder="1" applyAlignment="1">
      <alignment vertical="center"/>
    </xf>
    <xf numFmtId="0" fontId="45" fillId="0" borderId="42" xfId="0" applyFont="1" applyBorder="1"/>
    <xf numFmtId="0" fontId="45" fillId="0" borderId="48" xfId="0" applyFont="1" applyBorder="1" applyAlignment="1">
      <alignment vertical="center"/>
    </xf>
    <xf numFmtId="0" fontId="46" fillId="0" borderId="28" xfId="0" applyFont="1" applyBorder="1" applyAlignment="1">
      <alignment horizontal="center"/>
    </xf>
    <xf numFmtId="9" fontId="45" fillId="0" borderId="0" xfId="0" applyNumberFormat="1" applyFont="1"/>
    <xf numFmtId="0" fontId="46" fillId="0" borderId="21" xfId="0" applyFont="1" applyBorder="1" applyAlignment="1">
      <alignment horizontal="center" vertical="center" wrapText="1"/>
    </xf>
    <xf numFmtId="3" fontId="46" fillId="0" borderId="28" xfId="0" applyNumberFormat="1" applyFont="1" applyBorder="1" applyAlignment="1">
      <alignment horizontal="center" vertical="center" wrapText="1"/>
    </xf>
    <xf numFmtId="0" fontId="45" fillId="0" borderId="28" xfId="0" applyFont="1" applyBorder="1"/>
    <xf numFmtId="169" fontId="45" fillId="0" borderId="28" xfId="1" applyNumberFormat="1" applyFont="1" applyBorder="1"/>
    <xf numFmtId="169" fontId="46" fillId="0" borderId="28" xfId="1" applyNumberFormat="1" applyFont="1" applyBorder="1"/>
    <xf numFmtId="0" fontId="53" fillId="0" borderId="28" xfId="0" applyFont="1" applyBorder="1" applyAlignment="1">
      <alignment horizontal="left" vertical="center"/>
    </xf>
    <xf numFmtId="0" fontId="53" fillId="0" borderId="28" xfId="1" applyNumberFormat="1" applyFont="1" applyFill="1" applyBorder="1" applyAlignment="1">
      <alignment vertical="center"/>
    </xf>
    <xf numFmtId="0" fontId="53" fillId="0" borderId="28" xfId="0" applyFont="1" applyBorder="1" applyAlignment="1">
      <alignment vertical="center"/>
    </xf>
    <xf numFmtId="168" fontId="53" fillId="0" borderId="28" xfId="0" applyNumberFormat="1" applyFont="1" applyBorder="1" applyAlignment="1">
      <alignment vertical="center"/>
    </xf>
    <xf numFmtId="0" fontId="68" fillId="0" borderId="28" xfId="0" applyFont="1" applyBorder="1" applyAlignment="1">
      <alignment horizontal="center" vertical="center"/>
    </xf>
    <xf numFmtId="1" fontId="53" fillId="0" borderId="28" xfId="0" applyNumberFormat="1" applyFont="1" applyBorder="1" applyAlignment="1">
      <alignment vertical="center"/>
    </xf>
    <xf numFmtId="0" fontId="53" fillId="0" borderId="28" xfId="0" applyFont="1" applyBorder="1" applyAlignment="1">
      <alignment vertical="center" wrapText="1"/>
    </xf>
    <xf numFmtId="167" fontId="53" fillId="0" borderId="28" xfId="3" applyNumberFormat="1" applyFont="1" applyBorder="1" applyAlignment="1">
      <alignment vertical="center"/>
    </xf>
    <xf numFmtId="0" fontId="53" fillId="71" borderId="28" xfId="0" applyFont="1" applyFill="1" applyBorder="1" applyAlignment="1">
      <alignment vertical="center" wrapText="1"/>
    </xf>
    <xf numFmtId="166" fontId="53" fillId="0" borderId="28" xfId="3" applyNumberFormat="1" applyFont="1" applyBorder="1" applyAlignment="1">
      <alignment vertical="center"/>
    </xf>
    <xf numFmtId="182" fontId="53" fillId="0" borderId="28" xfId="3" applyNumberFormat="1" applyFont="1" applyBorder="1" applyAlignment="1">
      <alignment vertical="center"/>
    </xf>
    <xf numFmtId="0" fontId="44" fillId="0" borderId="28" xfId="0" applyFont="1" applyBorder="1" applyAlignment="1">
      <alignment vertical="center" wrapText="1"/>
    </xf>
    <xf numFmtId="169" fontId="53" fillId="0" borderId="28" xfId="0" applyNumberFormat="1" applyFont="1" applyBorder="1" applyAlignment="1">
      <alignment vertical="center"/>
    </xf>
    <xf numFmtId="44" fontId="68" fillId="0" borderId="28" xfId="1" applyFont="1" applyFill="1" applyBorder="1" applyAlignment="1">
      <alignment horizontal="center" vertical="center"/>
    </xf>
    <xf numFmtId="43" fontId="53" fillId="0" borderId="28" xfId="3" applyFont="1" applyFill="1" applyBorder="1" applyAlignment="1">
      <alignment vertical="center"/>
    </xf>
    <xf numFmtId="177" fontId="45" fillId="0" borderId="0" xfId="0" applyNumberFormat="1" applyFont="1" applyAlignment="1">
      <alignment horizontal="right" vertical="top" wrapText="1"/>
    </xf>
    <xf numFmtId="0" fontId="45" fillId="0" borderId="0" xfId="0" applyFont="1" applyAlignment="1">
      <alignment horizontal="left" vertical="top"/>
    </xf>
    <xf numFmtId="9" fontId="45" fillId="0" borderId="0" xfId="4" applyFont="1"/>
    <xf numFmtId="164" fontId="45" fillId="0" borderId="0" xfId="1" applyNumberFormat="1" applyFont="1"/>
    <xf numFmtId="167" fontId="46" fillId="0" borderId="28" xfId="3" applyNumberFormat="1" applyFont="1" applyBorder="1" applyAlignment="1">
      <alignment horizontal="center" vertical="center" wrapText="1"/>
    </xf>
    <xf numFmtId="0" fontId="45" fillId="0" borderId="28" xfId="0" applyFont="1" applyBorder="1" applyAlignment="1">
      <alignment horizontal="center"/>
    </xf>
    <xf numFmtId="0" fontId="53" fillId="0" borderId="44" xfId="0" applyFont="1" applyBorder="1"/>
    <xf numFmtId="169" fontId="45" fillId="0" borderId="28" xfId="3" applyNumberFormat="1" applyFont="1" applyBorder="1"/>
    <xf numFmtId="0" fontId="53" fillId="0" borderId="28" xfId="0" applyFont="1" applyBorder="1"/>
    <xf numFmtId="169" fontId="46" fillId="0" borderId="28" xfId="0" applyNumberFormat="1" applyFont="1" applyBorder="1"/>
    <xf numFmtId="2" fontId="53" fillId="0" borderId="28" xfId="0" applyNumberFormat="1" applyFont="1" applyBorder="1" applyAlignment="1">
      <alignment vertical="center"/>
    </xf>
    <xf numFmtId="9" fontId="45" fillId="0" borderId="0" xfId="0" applyNumberFormat="1" applyFont="1" applyAlignment="1">
      <alignment vertical="center"/>
    </xf>
    <xf numFmtId="10" fontId="45" fillId="0" borderId="0" xfId="4" applyNumberFormat="1" applyFont="1" applyFill="1" applyAlignment="1">
      <alignment vertical="center"/>
    </xf>
    <xf numFmtId="174" fontId="45" fillId="0" borderId="0" xfId="4" applyNumberFormat="1" applyFont="1"/>
    <xf numFmtId="174" fontId="45" fillId="0" borderId="0" xfId="0" applyNumberFormat="1" applyFont="1" applyAlignment="1">
      <alignment vertical="center"/>
    </xf>
    <xf numFmtId="168" fontId="45" fillId="0" borderId="0" xfId="0" applyNumberFormat="1" applyFont="1" applyAlignment="1">
      <alignment vertical="center"/>
    </xf>
    <xf numFmtId="0" fontId="45" fillId="0" borderId="0" xfId="0" applyFont="1" applyAlignment="1">
      <alignment wrapText="1"/>
    </xf>
    <xf numFmtId="0" fontId="46" fillId="0" borderId="0" xfId="0" applyFont="1" applyAlignment="1">
      <alignment horizontal="right"/>
    </xf>
    <xf numFmtId="0" fontId="46" fillId="0" borderId="0" xfId="0" applyFont="1" applyAlignment="1">
      <alignment horizontal="center"/>
    </xf>
    <xf numFmtId="169" fontId="46" fillId="0" borderId="28" xfId="0" applyNumberFormat="1" applyFont="1" applyBorder="1" applyAlignment="1">
      <alignment horizontal="center" vertical="center" wrapText="1"/>
    </xf>
    <xf numFmtId="0" fontId="46" fillId="0" borderId="44" xfId="0" applyFont="1" applyBorder="1" applyAlignment="1">
      <alignment horizontal="center" vertical="center" wrapText="1"/>
    </xf>
    <xf numFmtId="166" fontId="45" fillId="0" borderId="28" xfId="3" applyNumberFormat="1" applyFont="1" applyBorder="1"/>
    <xf numFmtId="3" fontId="45" fillId="0" borderId="28" xfId="1" applyNumberFormat="1" applyFont="1" applyBorder="1"/>
    <xf numFmtId="169" fontId="45" fillId="0" borderId="44" xfId="1" applyNumberFormat="1" applyFont="1" applyBorder="1"/>
    <xf numFmtId="169" fontId="45" fillId="0" borderId="28" xfId="0" applyNumberFormat="1" applyFont="1" applyBorder="1"/>
    <xf numFmtId="169" fontId="46" fillId="0" borderId="0" xfId="0" applyNumberFormat="1" applyFont="1"/>
    <xf numFmtId="9" fontId="45" fillId="0" borderId="0" xfId="4" applyFont="1" applyBorder="1" applyAlignment="1">
      <alignment vertical="center"/>
    </xf>
    <xf numFmtId="166" fontId="45" fillId="0" borderId="0" xfId="3" applyNumberFormat="1" applyFont="1"/>
    <xf numFmtId="43" fontId="45" fillId="0" borderId="0" xfId="3" applyFont="1" applyFill="1" applyBorder="1" applyAlignment="1">
      <alignment vertical="center" wrapText="1"/>
    </xf>
    <xf numFmtId="43" fontId="45" fillId="0" borderId="0" xfId="3" applyFont="1" applyFill="1" applyBorder="1" applyAlignment="1">
      <alignment vertical="center"/>
    </xf>
    <xf numFmtId="166" fontId="45" fillId="0" borderId="0" xfId="3" applyNumberFormat="1" applyFont="1" applyAlignment="1">
      <alignment vertical="center"/>
    </xf>
    <xf numFmtId="9" fontId="45" fillId="0" borderId="0" xfId="4" applyFont="1" applyAlignment="1">
      <alignment horizontal="center" vertical="center"/>
    </xf>
    <xf numFmtId="0" fontId="46" fillId="0" borderId="28" xfId="0" applyFont="1" applyBorder="1"/>
    <xf numFmtId="10" fontId="45" fillId="0" borderId="0" xfId="0" applyNumberFormat="1" applyFont="1"/>
    <xf numFmtId="44" fontId="45" fillId="0" borderId="0" xfId="1" applyFont="1"/>
    <xf numFmtId="43" fontId="45" fillId="0" borderId="0" xfId="3" applyFont="1"/>
    <xf numFmtId="9" fontId="45" fillId="0" borderId="0" xfId="3" applyNumberFormat="1" applyFont="1"/>
    <xf numFmtId="0" fontId="46" fillId="0" borderId="28" xfId="0" applyFont="1" applyBorder="1" applyAlignment="1">
      <alignment horizontal="center" vertical="center"/>
    </xf>
    <xf numFmtId="166" fontId="45" fillId="0" borderId="28" xfId="0" applyNumberFormat="1" applyFont="1" applyBorder="1"/>
    <xf numFmtId="9" fontId="45" fillId="0" borderId="0" xfId="4" applyFont="1" applyFill="1"/>
    <xf numFmtId="166" fontId="45" fillId="0" borderId="0" xfId="3" applyNumberFormat="1" applyFont="1" applyFill="1"/>
    <xf numFmtId="166" fontId="45" fillId="0" borderId="0" xfId="0" applyNumberFormat="1" applyFont="1"/>
    <xf numFmtId="1" fontId="45" fillId="0" borderId="0" xfId="0" applyNumberFormat="1" applyFont="1"/>
    <xf numFmtId="43" fontId="45" fillId="0" borderId="0" xfId="3" applyFont="1" applyFill="1"/>
    <xf numFmtId="176" fontId="45" fillId="0" borderId="0" xfId="0" applyNumberFormat="1" applyFont="1"/>
    <xf numFmtId="0" fontId="71" fillId="0" borderId="0" xfId="0" applyFont="1"/>
    <xf numFmtId="1" fontId="45" fillId="0" borderId="28" xfId="0" applyNumberFormat="1" applyFont="1" applyBorder="1"/>
    <xf numFmtId="164" fontId="45" fillId="0" borderId="28" xfId="0" applyNumberFormat="1" applyFont="1" applyBorder="1"/>
    <xf numFmtId="0" fontId="46" fillId="0" borderId="28" xfId="0" applyFont="1" applyBorder="1" applyAlignment="1">
      <alignment horizontal="right"/>
    </xf>
    <xf numFmtId="164" fontId="46" fillId="0" borderId="28" xfId="0" applyNumberFormat="1" applyFont="1" applyBorder="1"/>
    <xf numFmtId="43" fontId="45" fillId="0" borderId="0" xfId="3" applyFont="1" applyFill="1" applyBorder="1" applyAlignment="1">
      <alignment horizontal="left" vertical="center" wrapText="1"/>
    </xf>
    <xf numFmtId="166" fontId="45" fillId="0" borderId="28" xfId="3" applyNumberFormat="1" applyFont="1" applyFill="1" applyBorder="1"/>
    <xf numFmtId="165" fontId="45" fillId="0" borderId="0" xfId="0" applyNumberFormat="1" applyFont="1" applyAlignment="1">
      <alignment wrapText="1"/>
    </xf>
    <xf numFmtId="2" fontId="45" fillId="0" borderId="0" xfId="0" applyNumberFormat="1" applyFont="1" applyAlignment="1">
      <alignment vertical="center"/>
    </xf>
    <xf numFmtId="44" fontId="45" fillId="0" borderId="0" xfId="1" applyFont="1" applyBorder="1"/>
    <xf numFmtId="168" fontId="45" fillId="0" borderId="0" xfId="0" applyNumberFormat="1" applyFont="1"/>
    <xf numFmtId="43" fontId="45" fillId="0" borderId="0" xfId="0" applyNumberFormat="1" applyFont="1" applyAlignment="1">
      <alignment vertical="center"/>
    </xf>
    <xf numFmtId="0" fontId="68" fillId="0" borderId="0" xfId="0" applyFont="1"/>
    <xf numFmtId="9" fontId="53" fillId="0" borderId="0" xfId="0" applyNumberFormat="1" applyFont="1"/>
    <xf numFmtId="166" fontId="53" fillId="0" borderId="0" xfId="0" applyNumberFormat="1" applyFont="1"/>
    <xf numFmtId="10" fontId="53" fillId="0" borderId="0" xfId="0" applyNumberFormat="1" applyFont="1"/>
    <xf numFmtId="0" fontId="53" fillId="0" borderId="0" xfId="0" applyFont="1" applyAlignment="1">
      <alignment vertical="center" wrapText="1"/>
    </xf>
    <xf numFmtId="166" fontId="53" fillId="0" borderId="0" xfId="3" applyNumberFormat="1" applyFont="1" applyBorder="1" applyAlignment="1">
      <alignment vertical="center"/>
    </xf>
    <xf numFmtId="3" fontId="53" fillId="0" borderId="0" xfId="0" applyNumberFormat="1" applyFont="1"/>
    <xf numFmtId="0" fontId="53" fillId="0" borderId="0" xfId="0" applyFont="1" applyAlignment="1">
      <alignment horizontal="right"/>
    </xf>
    <xf numFmtId="8" fontId="53" fillId="0" borderId="0" xfId="0" applyNumberFormat="1" applyFont="1"/>
    <xf numFmtId="0" fontId="68" fillId="0" borderId="54" xfId="0" applyFont="1" applyBorder="1" applyAlignment="1">
      <alignment horizontal="center" vertical="center" wrapText="1"/>
    </xf>
    <xf numFmtId="0" fontId="68" fillId="0" borderId="51" xfId="0" applyFont="1" applyBorder="1" applyAlignment="1">
      <alignment horizontal="center" vertical="center" wrapText="1"/>
    </xf>
    <xf numFmtId="0" fontId="68" fillId="70" borderId="51" xfId="0" applyFont="1" applyFill="1" applyBorder="1" applyAlignment="1">
      <alignment horizontal="center" vertical="center" wrapText="1"/>
    </xf>
    <xf numFmtId="0" fontId="68" fillId="0" borderId="55" xfId="0" applyFont="1" applyBorder="1" applyAlignment="1">
      <alignment horizontal="center" vertical="center" wrapText="1"/>
    </xf>
    <xf numFmtId="0" fontId="53" fillId="0" borderId="56" xfId="0" applyFont="1" applyBorder="1"/>
    <xf numFmtId="3" fontId="53" fillId="0" borderId="15" xfId="0" applyNumberFormat="1" applyFont="1" applyBorder="1"/>
    <xf numFmtId="179" fontId="53" fillId="0" borderId="15" xfId="0" applyNumberFormat="1" applyFont="1" applyBorder="1"/>
    <xf numFmtId="6" fontId="53" fillId="0" borderId="15" xfId="0" applyNumberFormat="1" applyFont="1" applyBorder="1"/>
    <xf numFmtId="166" fontId="53" fillId="0" borderId="15" xfId="0" applyNumberFormat="1" applyFont="1" applyBorder="1"/>
    <xf numFmtId="6" fontId="53" fillId="0" borderId="53" xfId="0" applyNumberFormat="1" applyFont="1" applyBorder="1"/>
    <xf numFmtId="6" fontId="53" fillId="0" borderId="0" xfId="0" applyNumberFormat="1" applyFont="1"/>
    <xf numFmtId="0" fontId="68" fillId="0" borderId="1" xfId="0" applyFont="1" applyBorder="1" applyAlignment="1">
      <alignment horizontal="center" vertical="center" wrapText="1"/>
    </xf>
    <xf numFmtId="0" fontId="68" fillId="0" borderId="2" xfId="0" applyFont="1" applyBorder="1" applyAlignment="1">
      <alignment horizontal="center" vertical="center" wrapText="1"/>
    </xf>
    <xf numFmtId="0" fontId="68" fillId="70" borderId="50" xfId="0" applyFont="1" applyFill="1" applyBorder="1" applyAlignment="1">
      <alignment horizontal="center" wrapText="1"/>
    </xf>
    <xf numFmtId="0" fontId="68" fillId="0" borderId="17" xfId="0" applyFont="1" applyBorder="1" applyAlignment="1">
      <alignment horizontal="center" vertical="center" wrapText="1"/>
    </xf>
    <xf numFmtId="0" fontId="68" fillId="0" borderId="51" xfId="0" applyFont="1" applyBorder="1" applyAlignment="1">
      <alignment horizontal="center" wrapText="1"/>
    </xf>
    <xf numFmtId="0" fontId="68" fillId="70" borderId="52" xfId="0" applyFont="1" applyFill="1" applyBorder="1" applyAlignment="1">
      <alignment horizontal="center" wrapText="1"/>
    </xf>
    <xf numFmtId="0" fontId="53" fillId="0" borderId="3" xfId="0" applyFont="1" applyBorder="1"/>
    <xf numFmtId="166" fontId="53" fillId="0" borderId="44" xfId="3" applyNumberFormat="1" applyFont="1" applyBorder="1"/>
    <xf numFmtId="3" fontId="53" fillId="0" borderId="44" xfId="0" applyNumberFormat="1" applyFont="1" applyBorder="1"/>
    <xf numFmtId="43" fontId="53" fillId="0" borderId="15" xfId="0" applyNumberFormat="1" applyFont="1" applyBorder="1"/>
    <xf numFmtId="6" fontId="53" fillId="0" borderId="43" xfId="0" applyNumberFormat="1" applyFont="1" applyBorder="1"/>
    <xf numFmtId="6" fontId="53" fillId="0" borderId="28" xfId="0" applyNumberFormat="1" applyFont="1" applyBorder="1"/>
    <xf numFmtId="169" fontId="53" fillId="0" borderId="15" xfId="0" applyNumberFormat="1" applyFont="1" applyBorder="1"/>
    <xf numFmtId="169" fontId="53" fillId="0" borderId="53" xfId="0" applyNumberFormat="1" applyFont="1" applyBorder="1"/>
    <xf numFmtId="43" fontId="53" fillId="0" borderId="0" xfId="0" applyNumberFormat="1" applyFont="1"/>
    <xf numFmtId="169" fontId="53" fillId="0" borderId="0" xfId="0" applyNumberFormat="1" applyFont="1"/>
    <xf numFmtId="9" fontId="53" fillId="0" borderId="28" xfId="4" applyFont="1" applyFill="1" applyBorder="1" applyAlignment="1">
      <alignment vertical="center"/>
    </xf>
    <xf numFmtId="165" fontId="53" fillId="0" borderId="28" xfId="0" applyNumberFormat="1" applyFont="1" applyBorder="1" applyAlignment="1">
      <alignment vertical="center"/>
    </xf>
    <xf numFmtId="43" fontId="53" fillId="0" borderId="28" xfId="1" applyNumberFormat="1" applyFont="1" applyFill="1" applyBorder="1" applyAlignment="1">
      <alignment vertical="center"/>
    </xf>
    <xf numFmtId="0" fontId="72" fillId="0" borderId="28" xfId="0" applyFont="1" applyBorder="1" applyAlignment="1">
      <alignment vertical="center" wrapText="1"/>
    </xf>
    <xf numFmtId="0" fontId="6" fillId="0" borderId="0" xfId="477" applyFont="1" applyAlignment="1">
      <alignment horizontal="right"/>
    </xf>
    <xf numFmtId="0" fontId="6" fillId="0" borderId="0" xfId="477" applyFont="1" applyAlignment="1">
      <alignment horizontal="left"/>
    </xf>
    <xf numFmtId="0" fontId="6" fillId="0" borderId="0" xfId="477" applyFont="1" applyAlignment="1">
      <alignment horizontal="center"/>
    </xf>
    <xf numFmtId="0" fontId="6" fillId="0" borderId="0" xfId="477" applyFont="1"/>
    <xf numFmtId="1" fontId="6" fillId="0" borderId="0" xfId="477" applyNumberFormat="1" applyFont="1" applyAlignment="1">
      <alignment horizontal="right"/>
    </xf>
    <xf numFmtId="14" fontId="6" fillId="0" borderId="0" xfId="477" applyNumberFormat="1" applyFont="1" applyAlignment="1">
      <alignment horizontal="center"/>
    </xf>
    <xf numFmtId="2" fontId="6" fillId="0" borderId="0" xfId="477" applyNumberFormat="1" applyFont="1" applyAlignment="1">
      <alignment horizontal="right"/>
    </xf>
    <xf numFmtId="180" fontId="6" fillId="0" borderId="0" xfId="477" applyNumberFormat="1" applyFont="1" applyAlignment="1">
      <alignment horizontal="right"/>
    </xf>
    <xf numFmtId="2" fontId="6" fillId="0" borderId="0" xfId="477" applyNumberFormat="1" applyFont="1"/>
    <xf numFmtId="168" fontId="6" fillId="0" borderId="0" xfId="477" applyNumberFormat="1" applyFont="1"/>
    <xf numFmtId="1" fontId="6" fillId="0" borderId="0" xfId="477" applyNumberFormat="1" applyFont="1"/>
    <xf numFmtId="165" fontId="6" fillId="0" borderId="0" xfId="477" applyNumberFormat="1" applyFont="1"/>
    <xf numFmtId="43" fontId="6" fillId="0" borderId="0" xfId="3" applyFont="1" applyFill="1"/>
    <xf numFmtId="165" fontId="45" fillId="0" borderId="0" xfId="0" applyNumberFormat="1" applyFont="1"/>
    <xf numFmtId="0" fontId="73" fillId="0" borderId="0" xfId="2" applyFont="1"/>
    <xf numFmtId="10" fontId="45" fillId="0" borderId="0" xfId="4" applyNumberFormat="1" applyFont="1"/>
    <xf numFmtId="166" fontId="46" fillId="0" borderId="28" xfId="3" applyNumberFormat="1" applyFont="1" applyFill="1" applyBorder="1"/>
    <xf numFmtId="166" fontId="46" fillId="0" borderId="28" xfId="3" applyNumberFormat="1" applyFont="1" applyBorder="1"/>
    <xf numFmtId="166" fontId="46" fillId="0" borderId="0" xfId="3" applyNumberFormat="1" applyFont="1" applyBorder="1"/>
    <xf numFmtId="166" fontId="45" fillId="0" borderId="0" xfId="3" applyNumberFormat="1" applyFont="1" applyBorder="1"/>
    <xf numFmtId="6" fontId="45" fillId="0" borderId="0" xfId="0" applyNumberFormat="1" applyFont="1" applyAlignment="1">
      <alignment vertical="center"/>
    </xf>
    <xf numFmtId="14" fontId="45" fillId="0" borderId="0" xfId="0" applyNumberFormat="1" applyFont="1"/>
    <xf numFmtId="6" fontId="46" fillId="0" borderId="0" xfId="1" applyNumberFormat="1" applyFont="1"/>
    <xf numFmtId="8" fontId="45" fillId="0" borderId="0" xfId="0" applyNumberFormat="1" applyFont="1"/>
    <xf numFmtId="0" fontId="45" fillId="0" borderId="0" xfId="0" applyFont="1" applyAlignment="1">
      <alignment horizontal="left" vertical="center" indent="10"/>
    </xf>
    <xf numFmtId="0" fontId="45" fillId="0" borderId="0" xfId="0" applyFont="1" applyAlignment="1">
      <alignment horizontal="left" vertical="center" indent="1"/>
    </xf>
    <xf numFmtId="0" fontId="46" fillId="0" borderId="47" xfId="0" applyFont="1" applyBorder="1" applyAlignment="1">
      <alignment horizontal="center" vertical="center" wrapText="1"/>
    </xf>
    <xf numFmtId="0" fontId="46" fillId="0" borderId="0" xfId="0" applyFont="1" applyAlignment="1">
      <alignment horizontal="center" vertical="center" wrapText="1"/>
    </xf>
    <xf numFmtId="0" fontId="46" fillId="0" borderId="58" xfId="0" applyFont="1" applyBorder="1" applyAlignment="1">
      <alignment vertical="center" wrapText="1"/>
    </xf>
    <xf numFmtId="0" fontId="46" fillId="0" borderId="46" xfId="0" applyFont="1" applyBorder="1" applyAlignment="1">
      <alignment horizontal="center" vertical="center" wrapText="1"/>
    </xf>
    <xf numFmtId="0" fontId="46" fillId="0" borderId="49" xfId="0" applyFont="1" applyBorder="1" applyAlignment="1">
      <alignment horizontal="center" vertical="center"/>
    </xf>
    <xf numFmtId="0" fontId="46" fillId="0" borderId="46" xfId="0" applyFont="1" applyBorder="1" applyAlignment="1">
      <alignment horizontal="center" vertical="center"/>
    </xf>
    <xf numFmtId="168" fontId="46" fillId="0" borderId="28" xfId="0" applyNumberFormat="1" applyFont="1" applyBorder="1" applyAlignment="1">
      <alignment horizontal="center" vertical="center" wrapText="1"/>
    </xf>
    <xf numFmtId="0" fontId="45" fillId="0" borderId="28" xfId="0" applyFont="1" applyBorder="1" applyAlignment="1">
      <alignment horizontal="left" vertical="center" wrapText="1"/>
    </xf>
    <xf numFmtId="175" fontId="45" fillId="0" borderId="28" xfId="1" applyNumberFormat="1" applyFont="1" applyBorder="1" applyAlignment="1">
      <alignment vertical="center"/>
    </xf>
    <xf numFmtId="0" fontId="45" fillId="0" borderId="28" xfId="0" applyFont="1" applyBorder="1" applyAlignment="1">
      <alignment horizontal="left" vertical="center"/>
    </xf>
    <xf numFmtId="168" fontId="45" fillId="0" borderId="28" xfId="0" applyNumberFormat="1" applyFont="1" applyBorder="1"/>
    <xf numFmtId="169" fontId="45" fillId="74" borderId="28" xfId="1" applyNumberFormat="1" applyFont="1" applyFill="1" applyBorder="1"/>
    <xf numFmtId="169" fontId="45" fillId="71" borderId="28" xfId="1" applyNumberFormat="1" applyFont="1" applyFill="1" applyBorder="1"/>
    <xf numFmtId="0" fontId="6" fillId="0" borderId="0" xfId="0" applyFont="1"/>
    <xf numFmtId="0" fontId="75" fillId="0" borderId="0" xfId="0" applyFont="1"/>
    <xf numFmtId="0" fontId="6" fillId="0" borderId="15" xfId="0" applyFont="1" applyBorder="1" applyAlignment="1">
      <alignment horizontal="center" wrapText="1"/>
    </xf>
    <xf numFmtId="0" fontId="6" fillId="0" borderId="0" xfId="0" applyFont="1" applyAlignment="1">
      <alignment wrapText="1"/>
    </xf>
    <xf numFmtId="0" fontId="6" fillId="71" borderId="28" xfId="0" applyFont="1" applyFill="1" applyBorder="1" applyAlignment="1">
      <alignment vertical="top" wrapText="1"/>
    </xf>
    <xf numFmtId="0" fontId="6" fillId="71" borderId="0" xfId="0" applyFont="1" applyFill="1"/>
    <xf numFmtId="0" fontId="6" fillId="71" borderId="15" xfId="0" applyFont="1" applyFill="1" applyBorder="1" applyAlignment="1">
      <alignment horizontal="right" vertical="top" wrapText="1"/>
    </xf>
    <xf numFmtId="0" fontId="73" fillId="0" borderId="0" xfId="2" applyFont="1" applyFill="1" applyAlignment="1" applyProtection="1"/>
    <xf numFmtId="0" fontId="76" fillId="0" borderId="0" xfId="2" applyFont="1" applyFill="1" applyAlignment="1" applyProtection="1"/>
    <xf numFmtId="0" fontId="6" fillId="0" borderId="0" xfId="0" applyFont="1" applyAlignment="1">
      <alignment vertical="top" wrapText="1"/>
    </xf>
    <xf numFmtId="0" fontId="6" fillId="0" borderId="0" xfId="0" applyFont="1" applyAlignment="1">
      <alignment horizontal="right" vertical="top" wrapText="1"/>
    </xf>
    <xf numFmtId="44" fontId="6" fillId="0" borderId="0" xfId="1" applyFont="1"/>
    <xf numFmtId="44" fontId="6" fillId="0" borderId="0" xfId="0" applyNumberFormat="1" applyFont="1"/>
    <xf numFmtId="6" fontId="6" fillId="0" borderId="0" xfId="0" applyNumberFormat="1" applyFont="1" applyAlignment="1">
      <alignment horizontal="center"/>
    </xf>
    <xf numFmtId="6" fontId="75" fillId="0" borderId="0" xfId="0" applyNumberFormat="1" applyFont="1" applyAlignment="1">
      <alignment horizontal="center"/>
    </xf>
    <xf numFmtId="0" fontId="6" fillId="0" borderId="0" xfId="0" applyFont="1" applyAlignment="1">
      <alignment horizontal="center"/>
    </xf>
    <xf numFmtId="0" fontId="75" fillId="0" borderId="0" xfId="0" applyFont="1" applyAlignment="1">
      <alignment horizontal="center"/>
    </xf>
    <xf numFmtId="9" fontId="6" fillId="0" borderId="0" xfId="0" applyNumberFormat="1" applyFont="1" applyAlignment="1">
      <alignment horizontal="center" vertical="center"/>
    </xf>
    <xf numFmtId="9" fontId="6" fillId="0" borderId="0" xfId="0" applyNumberFormat="1" applyFont="1"/>
    <xf numFmtId="164" fontId="6" fillId="0" borderId="0" xfId="0" applyNumberFormat="1" applyFont="1"/>
    <xf numFmtId="164" fontId="6" fillId="0" borderId="0" xfId="1" applyNumberFormat="1" applyFont="1" applyBorder="1"/>
    <xf numFmtId="164" fontId="6" fillId="0" borderId="0" xfId="1" applyNumberFormat="1" applyFont="1" applyFill="1" applyBorder="1"/>
    <xf numFmtId="164" fontId="75" fillId="0" borderId="0" xfId="1" applyNumberFormat="1" applyFont="1" applyBorder="1"/>
    <xf numFmtId="9" fontId="6" fillId="0" borderId="0" xfId="4" applyFont="1"/>
    <xf numFmtId="169" fontId="45" fillId="74" borderId="28" xfId="0" applyNumberFormat="1" applyFont="1" applyFill="1" applyBorder="1"/>
    <xf numFmtId="169" fontId="64" fillId="74" borderId="28" xfId="0" applyNumberFormat="1" applyFont="1" applyFill="1" applyBorder="1"/>
    <xf numFmtId="164" fontId="45" fillId="74" borderId="28" xfId="0" applyNumberFormat="1" applyFont="1" applyFill="1" applyBorder="1"/>
    <xf numFmtId="6" fontId="53" fillId="74" borderId="15" xfId="0" applyNumberFormat="1" applyFont="1" applyFill="1" applyBorder="1"/>
    <xf numFmtId="0" fontId="53" fillId="0" borderId="60" xfId="0" applyFont="1" applyBorder="1"/>
    <xf numFmtId="3" fontId="53" fillId="0" borderId="16" xfId="0" applyNumberFormat="1" applyFont="1" applyBorder="1"/>
    <xf numFmtId="179" fontId="53" fillId="0" borderId="16" xfId="0" applyNumberFormat="1" applyFont="1" applyBorder="1"/>
    <xf numFmtId="6" fontId="53" fillId="0" borderId="16" xfId="0" applyNumberFormat="1" applyFont="1" applyBorder="1"/>
    <xf numFmtId="166" fontId="53" fillId="0" borderId="16" xfId="0" applyNumberFormat="1" applyFont="1" applyBorder="1"/>
    <xf numFmtId="6" fontId="53" fillId="0" borderId="61" xfId="0" applyNumberFormat="1" applyFont="1" applyBorder="1"/>
    <xf numFmtId="0" fontId="53" fillId="0" borderId="62" xfId="0" applyFont="1" applyBorder="1"/>
    <xf numFmtId="3" fontId="53" fillId="0" borderId="63" xfId="0" applyNumberFormat="1" applyFont="1" applyBorder="1"/>
    <xf numFmtId="179" fontId="53" fillId="0" borderId="63" xfId="0" applyNumberFormat="1" applyFont="1" applyBorder="1"/>
    <xf numFmtId="6" fontId="53" fillId="0" borderId="63" xfId="0" applyNumberFormat="1" applyFont="1" applyBorder="1"/>
    <xf numFmtId="166" fontId="53" fillId="0" borderId="63" xfId="0" applyNumberFormat="1" applyFont="1" applyBorder="1"/>
    <xf numFmtId="6" fontId="53" fillId="0" borderId="64" xfId="0" applyNumberFormat="1" applyFont="1" applyBorder="1"/>
    <xf numFmtId="3" fontId="53" fillId="0" borderId="28" xfId="0" applyNumberFormat="1" applyFont="1" applyBorder="1"/>
    <xf numFmtId="179" fontId="53" fillId="0" borderId="28" xfId="0" applyNumberFormat="1" applyFont="1" applyBorder="1"/>
    <xf numFmtId="166" fontId="53" fillId="0" borderId="28" xfId="0" applyNumberFormat="1" applyFont="1" applyBorder="1"/>
    <xf numFmtId="6" fontId="53" fillId="0" borderId="65" xfId="0" applyNumberFormat="1" applyFont="1" applyBorder="1"/>
    <xf numFmtId="6" fontId="53" fillId="74" borderId="63" xfId="0" applyNumberFormat="1" applyFont="1" applyFill="1" applyBorder="1"/>
    <xf numFmtId="43" fontId="53" fillId="74" borderId="15" xfId="0" applyNumberFormat="1" applyFont="1" applyFill="1" applyBorder="1"/>
    <xf numFmtId="0" fontId="53" fillId="0" borderId="66" xfId="0" applyFont="1" applyBorder="1"/>
    <xf numFmtId="166" fontId="53" fillId="0" borderId="67" xfId="3" applyNumberFormat="1" applyFont="1" applyBorder="1"/>
    <xf numFmtId="3" fontId="53" fillId="0" borderId="67" xfId="0" applyNumberFormat="1" applyFont="1" applyBorder="1"/>
    <xf numFmtId="43" fontId="53" fillId="0" borderId="16" xfId="0" applyNumberFormat="1" applyFont="1" applyBorder="1"/>
    <xf numFmtId="6" fontId="53" fillId="0" borderId="49" xfId="0" applyNumberFormat="1" applyFont="1" applyBorder="1"/>
    <xf numFmtId="6" fontId="53" fillId="0" borderId="46" xfId="0" applyNumberFormat="1" applyFont="1" applyBorder="1"/>
    <xf numFmtId="169" fontId="53" fillId="0" borderId="16" xfId="0" applyNumberFormat="1" applyFont="1" applyBorder="1"/>
    <xf numFmtId="169" fontId="53" fillId="0" borderId="61" xfId="0" applyNumberFormat="1" applyFont="1" applyBorder="1"/>
    <xf numFmtId="0" fontId="53" fillId="0" borderId="68" xfId="0" applyFont="1" applyBorder="1"/>
    <xf numFmtId="166" fontId="53" fillId="0" borderId="69" xfId="3" applyNumberFormat="1" applyFont="1" applyBorder="1"/>
    <xf numFmtId="3" fontId="53" fillId="0" borderId="69" xfId="0" applyNumberFormat="1" applyFont="1" applyBorder="1"/>
    <xf numFmtId="43" fontId="53" fillId="0" borderId="63" xfId="0" applyNumberFormat="1" applyFont="1" applyBorder="1"/>
    <xf numFmtId="6" fontId="53" fillId="0" borderId="70" xfId="0" applyNumberFormat="1" applyFont="1" applyBorder="1"/>
    <xf numFmtId="6" fontId="53" fillId="0" borderId="71" xfId="0" applyNumberFormat="1" applyFont="1" applyBorder="1"/>
    <xf numFmtId="169" fontId="53" fillId="0" borderId="63" xfId="0" applyNumberFormat="1" applyFont="1" applyBorder="1"/>
    <xf numFmtId="169" fontId="53" fillId="0" borderId="64" xfId="0" applyNumberFormat="1" applyFont="1" applyBorder="1"/>
    <xf numFmtId="166" fontId="53" fillId="0" borderId="28" xfId="3" applyNumberFormat="1" applyFont="1" applyBorder="1"/>
    <xf numFmtId="43" fontId="53" fillId="0" borderId="28" xfId="0" applyNumberFormat="1" applyFont="1" applyBorder="1"/>
    <xf numFmtId="169" fontId="53" fillId="0" borderId="28" xfId="0" applyNumberFormat="1" applyFont="1" applyBorder="1"/>
    <xf numFmtId="169" fontId="53" fillId="0" borderId="65" xfId="0" applyNumberFormat="1" applyFont="1" applyBorder="1"/>
    <xf numFmtId="43" fontId="53" fillId="74" borderId="63" xfId="0" applyNumberFormat="1" applyFont="1" applyFill="1" applyBorder="1"/>
    <xf numFmtId="44" fontId="53" fillId="74" borderId="15" xfId="1" applyFont="1" applyFill="1" applyBorder="1"/>
    <xf numFmtId="44" fontId="53" fillId="0" borderId="15" xfId="1" applyFont="1" applyBorder="1"/>
    <xf numFmtId="44" fontId="53" fillId="0" borderId="16" xfId="1" applyFont="1" applyBorder="1"/>
    <xf numFmtId="44" fontId="53" fillId="0" borderId="28" xfId="1" applyFont="1" applyBorder="1"/>
    <xf numFmtId="44" fontId="53" fillId="74" borderId="63" xfId="1" applyFont="1" applyFill="1" applyBorder="1"/>
    <xf numFmtId="169" fontId="45" fillId="74" borderId="28" xfId="3" applyNumberFormat="1" applyFont="1" applyFill="1" applyBorder="1"/>
    <xf numFmtId="0" fontId="77" fillId="0" borderId="0" xfId="0" applyFont="1"/>
    <xf numFmtId="181" fontId="77" fillId="0" borderId="0" xfId="0" applyNumberFormat="1" applyFont="1"/>
    <xf numFmtId="181" fontId="45" fillId="0" borderId="0" xfId="0" applyNumberFormat="1" applyFont="1"/>
    <xf numFmtId="175" fontId="0" fillId="0" borderId="0" xfId="0" applyNumberFormat="1"/>
    <xf numFmtId="164" fontId="53" fillId="0" borderId="0" xfId="1" applyNumberFormat="1" applyFont="1"/>
    <xf numFmtId="0" fontId="0" fillId="0" borderId="21" xfId="0" applyBorder="1"/>
    <xf numFmtId="0" fontId="0" fillId="0" borderId="21" xfId="0" applyBorder="1" applyAlignment="1">
      <alignment wrapText="1"/>
    </xf>
    <xf numFmtId="0" fontId="0" fillId="0" borderId="0" xfId="0" applyAlignment="1">
      <alignment vertical="center" wrapText="1"/>
    </xf>
    <xf numFmtId="0" fontId="0" fillId="0" borderId="0" xfId="0" applyAlignment="1">
      <alignment wrapText="1"/>
    </xf>
    <xf numFmtId="0" fontId="0" fillId="0" borderId="57" xfId="0" applyBorder="1" applyAlignment="1">
      <alignment vertical="center"/>
    </xf>
    <xf numFmtId="0" fontId="0" fillId="0" borderId="47" xfId="0" applyBorder="1"/>
    <xf numFmtId="0" fontId="0" fillId="0" borderId="47" xfId="0" applyBorder="1" applyAlignment="1">
      <alignment wrapText="1"/>
    </xf>
    <xf numFmtId="0" fontId="0" fillId="0" borderId="27" xfId="0" applyBorder="1"/>
    <xf numFmtId="0" fontId="0" fillId="0" borderId="23" xfId="0" applyBorder="1" applyAlignment="1">
      <alignment vertical="center"/>
    </xf>
    <xf numFmtId="0" fontId="0" fillId="0" borderId="22" xfId="0" applyBorder="1"/>
    <xf numFmtId="0" fontId="0" fillId="0" borderId="23" xfId="0" applyBorder="1"/>
    <xf numFmtId="0" fontId="0" fillId="0" borderId="24" xfId="0" applyBorder="1"/>
    <xf numFmtId="0" fontId="0" fillId="0" borderId="25" xfId="0" applyBorder="1"/>
    <xf numFmtId="0" fontId="0" fillId="0" borderId="25" xfId="0" applyBorder="1" applyAlignment="1">
      <alignment wrapText="1"/>
    </xf>
    <xf numFmtId="0" fontId="0" fillId="0" borderId="26" xfId="0" applyBorder="1"/>
    <xf numFmtId="0" fontId="48" fillId="0" borderId="28" xfId="0" applyFont="1" applyBorder="1" applyAlignment="1">
      <alignment vertical="center"/>
    </xf>
    <xf numFmtId="166" fontId="48" fillId="0" borderId="28" xfId="3" applyNumberFormat="1" applyFont="1" applyFill="1" applyBorder="1" applyAlignment="1">
      <alignment vertical="center"/>
    </xf>
    <xf numFmtId="174" fontId="53" fillId="0" borderId="28" xfId="0" applyNumberFormat="1" applyFont="1" applyBorder="1" applyAlignment="1">
      <alignment vertical="center"/>
    </xf>
    <xf numFmtId="166" fontId="45" fillId="0" borderId="0" xfId="3" applyNumberFormat="1" applyFont="1" applyFill="1" applyBorder="1"/>
    <xf numFmtId="0" fontId="73" fillId="0" borderId="0" xfId="2" applyFont="1" applyAlignment="1"/>
    <xf numFmtId="3" fontId="45" fillId="0" borderId="0" xfId="0" applyNumberFormat="1" applyFont="1" applyAlignment="1">
      <alignment vertical="center"/>
    </xf>
    <xf numFmtId="0" fontId="73" fillId="0" borderId="0" xfId="0" applyFont="1"/>
    <xf numFmtId="0" fontId="45" fillId="68" borderId="46" xfId="0" applyFont="1" applyFill="1" applyBorder="1" applyAlignment="1">
      <alignment horizontal="center" wrapText="1"/>
    </xf>
    <xf numFmtId="0" fontId="45" fillId="68" borderId="28" xfId="0" applyFont="1" applyFill="1" applyBorder="1" applyAlignment="1">
      <alignment horizontal="center" wrapText="1"/>
    </xf>
    <xf numFmtId="0" fontId="45" fillId="69" borderId="28" xfId="0" applyFont="1" applyFill="1" applyBorder="1" applyAlignment="1">
      <alignment horizontal="center" vertical="center"/>
    </xf>
    <xf numFmtId="2" fontId="45" fillId="69" borderId="28" xfId="0" applyNumberFormat="1" applyFont="1" applyFill="1" applyBorder="1"/>
    <xf numFmtId="184" fontId="45" fillId="69" borderId="28" xfId="0" applyNumberFormat="1" applyFont="1" applyFill="1" applyBorder="1"/>
    <xf numFmtId="0" fontId="45" fillId="69" borderId="28" xfId="0" applyFont="1" applyFill="1" applyBorder="1"/>
    <xf numFmtId="0" fontId="45" fillId="0" borderId="43" xfId="0" applyFont="1" applyBorder="1" applyAlignment="1">
      <alignment horizontal="center" vertical="center"/>
    </xf>
    <xf numFmtId="2" fontId="45" fillId="70" borderId="28" xfId="0" applyNumberFormat="1" applyFont="1" applyFill="1" applyBorder="1"/>
    <xf numFmtId="184" fontId="45" fillId="0" borderId="28" xfId="0" applyNumberFormat="1" applyFont="1" applyBorder="1"/>
    <xf numFmtId="2" fontId="45" fillId="0" borderId="28" xfId="0" applyNumberFormat="1" applyFont="1" applyBorder="1"/>
    <xf numFmtId="1" fontId="45" fillId="69" borderId="28" xfId="0" applyNumberFormat="1" applyFont="1" applyFill="1" applyBorder="1"/>
    <xf numFmtId="183" fontId="45" fillId="69" borderId="28" xfId="0" applyNumberFormat="1" applyFont="1" applyFill="1" applyBorder="1"/>
    <xf numFmtId="1" fontId="45" fillId="70" borderId="28" xfId="0" applyNumberFormat="1" applyFont="1" applyFill="1" applyBorder="1"/>
    <xf numFmtId="183" fontId="45" fillId="0" borderId="28" xfId="0" applyNumberFormat="1" applyFont="1" applyBorder="1"/>
    <xf numFmtId="169" fontId="45" fillId="0" borderId="28" xfId="1" applyNumberFormat="1" applyFont="1" applyFill="1" applyBorder="1"/>
    <xf numFmtId="0" fontId="45" fillId="71" borderId="0" xfId="0" applyFont="1" applyFill="1"/>
    <xf numFmtId="1" fontId="45" fillId="71" borderId="0" xfId="0" applyNumberFormat="1" applyFont="1" applyFill="1" applyAlignment="1">
      <alignment vertical="center" wrapText="1"/>
    </xf>
    <xf numFmtId="166" fontId="45" fillId="71" borderId="0" xfId="3" applyNumberFormat="1" applyFont="1" applyFill="1" applyBorder="1" applyAlignment="1">
      <alignment vertical="center"/>
    </xf>
    <xf numFmtId="0" fontId="45" fillId="71" borderId="28" xfId="0" applyFont="1" applyFill="1" applyBorder="1"/>
    <xf numFmtId="166" fontId="45" fillId="71" borderId="28" xfId="3" applyNumberFormat="1" applyFont="1" applyFill="1" applyBorder="1"/>
    <xf numFmtId="166" fontId="45" fillId="71" borderId="28" xfId="0" applyNumberFormat="1" applyFont="1" applyFill="1" applyBorder="1"/>
    <xf numFmtId="169" fontId="45" fillId="71" borderId="28" xfId="0" applyNumberFormat="1" applyFont="1" applyFill="1" applyBorder="1"/>
    <xf numFmtId="0" fontId="64" fillId="71" borderId="0" xfId="0" applyFont="1" applyFill="1"/>
    <xf numFmtId="9" fontId="64" fillId="71" borderId="0" xfId="0" applyNumberFormat="1" applyFont="1" applyFill="1"/>
    <xf numFmtId="174" fontId="64" fillId="71" borderId="0" xfId="0" applyNumberFormat="1" applyFont="1" applyFill="1"/>
    <xf numFmtId="0" fontId="64" fillId="71" borderId="0" xfId="0" applyFont="1" applyFill="1" applyAlignment="1">
      <alignment horizontal="center" vertical="center" wrapText="1"/>
    </xf>
    <xf numFmtId="164" fontId="64" fillId="71" borderId="0" xfId="1" applyNumberFormat="1" applyFont="1" applyFill="1" applyAlignment="1">
      <alignment horizontal="center" vertical="center" wrapText="1"/>
    </xf>
    <xf numFmtId="9" fontId="64" fillId="71" borderId="0" xfId="0" applyNumberFormat="1" applyFont="1" applyFill="1" applyAlignment="1">
      <alignment horizontal="center" vertical="center" wrapText="1"/>
    </xf>
    <xf numFmtId="164" fontId="64" fillId="71" borderId="0" xfId="1" applyNumberFormat="1" applyFont="1" applyFill="1"/>
    <xf numFmtId="43" fontId="45" fillId="0" borderId="0" xfId="3" applyFont="1" applyAlignment="1">
      <alignment wrapText="1"/>
    </xf>
    <xf numFmtId="44" fontId="45" fillId="0" borderId="0" xfId="1" applyFont="1" applyFill="1"/>
    <xf numFmtId="0" fontId="45" fillId="0" borderId="0" xfId="0" applyFont="1" applyAlignment="1">
      <alignment horizontal="left"/>
    </xf>
    <xf numFmtId="164" fontId="45" fillId="74" borderId="28" xfId="1" applyNumberFormat="1" applyFont="1" applyFill="1" applyBorder="1"/>
    <xf numFmtId="164" fontId="45" fillId="0" borderId="28" xfId="1" applyNumberFormat="1" applyFont="1" applyBorder="1"/>
    <xf numFmtId="164" fontId="45" fillId="0" borderId="28" xfId="1" applyNumberFormat="1" applyFont="1" applyFill="1" applyBorder="1"/>
    <xf numFmtId="3" fontId="53" fillId="0" borderId="72" xfId="0" applyNumberFormat="1" applyFont="1" applyBorder="1"/>
    <xf numFmtId="0" fontId="74" fillId="0" borderId="0" xfId="0" applyFont="1"/>
    <xf numFmtId="43" fontId="45" fillId="75" borderId="0" xfId="3" applyFont="1" applyFill="1"/>
    <xf numFmtId="0" fontId="45" fillId="75" borderId="0" xfId="0" applyFont="1" applyFill="1"/>
    <xf numFmtId="168" fontId="53" fillId="0" borderId="28" xfId="1" applyNumberFormat="1" applyFont="1" applyFill="1" applyBorder="1" applyAlignment="1">
      <alignment vertical="center"/>
    </xf>
    <xf numFmtId="0" fontId="2" fillId="0" borderId="21" xfId="0" applyFont="1" applyBorder="1"/>
    <xf numFmtId="168" fontId="0" fillId="0" borderId="0" xfId="1" applyNumberFormat="1" applyFont="1"/>
    <xf numFmtId="8" fontId="0" fillId="0" borderId="0" xfId="0" applyNumberFormat="1"/>
    <xf numFmtId="168" fontId="0" fillId="0" borderId="0" xfId="0" applyNumberFormat="1"/>
    <xf numFmtId="0" fontId="46" fillId="67" borderId="28" xfId="0" applyFont="1" applyFill="1" applyBorder="1" applyAlignment="1">
      <alignment horizontal="center" vertical="center" wrapText="1"/>
    </xf>
    <xf numFmtId="0" fontId="45" fillId="0" borderId="28" xfId="0" applyFont="1" applyBorder="1" applyAlignment="1">
      <alignment horizontal="center" vertical="center" wrapText="1"/>
    </xf>
    <xf numFmtId="0" fontId="67" fillId="0" borderId="28" xfId="0" applyFont="1" applyBorder="1" applyAlignment="1">
      <alignment horizontal="center"/>
    </xf>
    <xf numFmtId="0" fontId="45" fillId="0" borderId="44" xfId="0" applyFont="1" applyBorder="1" applyAlignment="1">
      <alignment horizontal="right"/>
    </xf>
    <xf numFmtId="0" fontId="45" fillId="0" borderId="45" xfId="0" applyFont="1" applyBorder="1" applyAlignment="1">
      <alignment horizontal="right"/>
    </xf>
    <xf numFmtId="0" fontId="45" fillId="0" borderId="43" xfId="0" applyFont="1" applyBorder="1" applyAlignment="1">
      <alignment horizontal="right"/>
    </xf>
    <xf numFmtId="0" fontId="46" fillId="0" borderId="28" xfId="0" applyFont="1" applyBorder="1" applyAlignment="1">
      <alignment horizontal="center"/>
    </xf>
    <xf numFmtId="9" fontId="45" fillId="0" borderId="28" xfId="0" applyNumberFormat="1" applyFont="1" applyBorder="1" applyAlignment="1">
      <alignment horizontal="center"/>
    </xf>
    <xf numFmtId="0" fontId="45" fillId="0" borderId="28" xfId="0" applyFont="1" applyBorder="1" applyAlignment="1">
      <alignment horizontal="center"/>
    </xf>
    <xf numFmtId="0" fontId="45" fillId="0" borderId="44" xfId="0" applyFont="1" applyBorder="1" applyAlignment="1">
      <alignment horizontal="center"/>
    </xf>
    <xf numFmtId="0" fontId="6" fillId="0" borderId="0" xfId="0" applyFont="1" applyAlignment="1">
      <alignment horizontal="right" wrapText="1"/>
    </xf>
    <xf numFmtId="0" fontId="45" fillId="0" borderId="0" xfId="0" applyFont="1" applyAlignment="1">
      <alignment horizontal="center"/>
    </xf>
    <xf numFmtId="0" fontId="45" fillId="0" borderId="0" xfId="0" applyFont="1" applyAlignment="1">
      <alignment horizontal="center" vertical="center"/>
    </xf>
    <xf numFmtId="0" fontId="45" fillId="0" borderId="0" xfId="0" applyFont="1"/>
    <xf numFmtId="0" fontId="45" fillId="0" borderId="0" xfId="0" applyFont="1" applyAlignment="1">
      <alignment horizontal="right" vertical="center" wrapText="1"/>
    </xf>
    <xf numFmtId="0" fontId="45" fillId="0" borderId="0" xfId="0" applyFont="1" applyAlignment="1">
      <alignment vertical="center"/>
    </xf>
    <xf numFmtId="0" fontId="45" fillId="0" borderId="0" xfId="0" applyFont="1" applyAlignment="1">
      <alignment horizontal="left" vertical="center" wrapText="1"/>
    </xf>
    <xf numFmtId="0" fontId="73" fillId="0" borderId="0" xfId="2" applyFont="1" applyAlignment="1">
      <alignment horizontal="left" vertical="center" wrapText="1"/>
    </xf>
    <xf numFmtId="0" fontId="46" fillId="69" borderId="46" xfId="0" applyFont="1" applyFill="1" applyBorder="1" applyAlignment="1">
      <alignment horizontal="center" vertical="center" textRotation="90"/>
    </xf>
    <xf numFmtId="0" fontId="46" fillId="69" borderId="41" xfId="0" applyFont="1" applyFill="1" applyBorder="1" applyAlignment="1">
      <alignment horizontal="center" vertical="center" textRotation="90"/>
    </xf>
    <xf numFmtId="0" fontId="46" fillId="69" borderId="5" xfId="0" applyFont="1" applyFill="1" applyBorder="1" applyAlignment="1">
      <alignment horizontal="center" vertical="center" textRotation="90"/>
    </xf>
    <xf numFmtId="0" fontId="46" fillId="70" borderId="46" xfId="0" applyFont="1" applyFill="1" applyBorder="1" applyAlignment="1">
      <alignment horizontal="center" vertical="center" textRotation="90"/>
    </xf>
    <xf numFmtId="0" fontId="46" fillId="70" borderId="41" xfId="0" applyFont="1" applyFill="1" applyBorder="1" applyAlignment="1">
      <alignment horizontal="center" vertical="center" textRotation="90"/>
    </xf>
    <xf numFmtId="0" fontId="46" fillId="70" borderId="5" xfId="0" applyFont="1" applyFill="1" applyBorder="1" applyAlignment="1">
      <alignment horizontal="center" vertical="center" textRotation="90"/>
    </xf>
    <xf numFmtId="0" fontId="45" fillId="0" borderId="28" xfId="0" applyFont="1" applyBorder="1" applyAlignment="1">
      <alignment horizontal="center" wrapText="1"/>
    </xf>
    <xf numFmtId="169" fontId="45" fillId="0" borderId="0" xfId="0" applyNumberFormat="1" applyFont="1" applyAlignment="1">
      <alignment horizontal="right" vertical="center"/>
    </xf>
    <xf numFmtId="0" fontId="46" fillId="0" borderId="47" xfId="0" applyFont="1" applyBorder="1" applyAlignment="1">
      <alignment vertical="center" wrapText="1"/>
    </xf>
    <xf numFmtId="0" fontId="46" fillId="0" borderId="0" xfId="0" applyFont="1" applyAlignment="1">
      <alignment vertical="center" wrapText="1"/>
    </xf>
    <xf numFmtId="6" fontId="45" fillId="0" borderId="0" xfId="0" applyNumberFormat="1" applyFont="1" applyAlignment="1">
      <alignment horizontal="right" vertical="center" wrapText="1"/>
    </xf>
    <xf numFmtId="0" fontId="46" fillId="0" borderId="47" xfId="0" applyFont="1" applyBorder="1" applyAlignment="1">
      <alignment horizontal="center" vertical="center" wrapText="1"/>
    </xf>
    <xf numFmtId="0" fontId="46" fillId="0" borderId="0" xfId="0" applyFont="1" applyAlignment="1">
      <alignment horizontal="center" vertical="center" wrapText="1"/>
    </xf>
    <xf numFmtId="0" fontId="46" fillId="0" borderId="58" xfId="0" applyFont="1" applyBorder="1" applyAlignment="1">
      <alignment horizontal="center" vertical="center" wrapText="1"/>
    </xf>
    <xf numFmtId="0" fontId="45" fillId="73" borderId="0" xfId="0" applyFont="1" applyFill="1" applyAlignment="1">
      <alignment vertical="center" wrapText="1"/>
    </xf>
    <xf numFmtId="6" fontId="45" fillId="73" borderId="0" xfId="0" applyNumberFormat="1" applyFont="1" applyFill="1" applyAlignment="1">
      <alignment horizontal="right" vertical="center" wrapText="1"/>
    </xf>
    <xf numFmtId="0" fontId="45" fillId="0" borderId="0" xfId="0" applyFont="1" applyAlignment="1">
      <alignment vertical="center" wrapText="1"/>
    </xf>
    <xf numFmtId="0" fontId="50" fillId="0" borderId="16" xfId="0" applyFont="1" applyBorder="1" applyAlignment="1">
      <alignment horizontal="center" vertical="center" wrapText="1"/>
    </xf>
    <xf numFmtId="0" fontId="50" fillId="0" borderId="39" xfId="0" applyFont="1" applyBorder="1" applyAlignment="1">
      <alignment horizontal="center" vertical="center" wrapText="1"/>
    </xf>
    <xf numFmtId="0" fontId="50" fillId="0" borderId="36" xfId="0" applyFont="1" applyBorder="1" applyAlignment="1">
      <alignment horizontal="center" vertical="center" wrapText="1"/>
    </xf>
    <xf numFmtId="0" fontId="50" fillId="0" borderId="40" xfId="0" applyFont="1" applyBorder="1" applyAlignment="1">
      <alignment horizontal="center" vertical="center" wrapText="1"/>
    </xf>
    <xf numFmtId="0" fontId="50" fillId="0" borderId="37"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0" xfId="0" applyFont="1" applyAlignment="1">
      <alignment horizontal="center" vertical="center" wrapText="1"/>
    </xf>
    <xf numFmtId="0" fontId="50" fillId="0" borderId="34" xfId="0" applyFont="1" applyBorder="1" applyAlignment="1">
      <alignment horizontal="center" vertical="center" wrapText="1"/>
    </xf>
    <xf numFmtId="0" fontId="50" fillId="0" borderId="33" xfId="0" applyFont="1" applyBorder="1" applyAlignment="1">
      <alignment horizontal="center" vertical="center" wrapText="1"/>
    </xf>
    <xf numFmtId="0" fontId="51" fillId="0" borderId="0" xfId="0" applyFont="1"/>
    <xf numFmtId="0" fontId="59" fillId="0" borderId="37" xfId="0" applyFont="1" applyBorder="1" applyAlignment="1">
      <alignment wrapText="1"/>
    </xf>
    <xf numFmtId="0" fontId="22" fillId="0" borderId="33" xfId="0" applyFont="1" applyBorder="1" applyAlignment="1">
      <alignment horizontal="center" vertical="center" wrapText="1"/>
    </xf>
    <xf numFmtId="0" fontId="50" fillId="0" borderId="29" xfId="0" applyFont="1" applyBorder="1" applyAlignment="1">
      <alignment horizontal="center" vertical="center" wrapText="1"/>
    </xf>
    <xf numFmtId="0" fontId="50" fillId="0" borderId="30" xfId="0" applyFont="1" applyBorder="1" applyAlignment="1">
      <alignment horizontal="center" vertical="center" wrapText="1"/>
    </xf>
    <xf numFmtId="0" fontId="50" fillId="0" borderId="31" xfId="0" applyFont="1" applyBorder="1" applyAlignment="1">
      <alignment horizontal="center" vertical="center" wrapText="1"/>
    </xf>
    <xf numFmtId="0" fontId="50" fillId="0" borderId="38" xfId="0" applyFont="1" applyBorder="1" applyAlignment="1">
      <alignment horizontal="center" vertical="top" wrapText="1"/>
    </xf>
    <xf numFmtId="0" fontId="50" fillId="0" borderId="32" xfId="0" applyFont="1" applyBorder="1" applyAlignment="1">
      <alignment horizontal="center" vertical="top" wrapText="1"/>
    </xf>
  </cellXfs>
  <cellStyles count="478">
    <cellStyle name="‡" xfId="475" xr:uid="{00000000-0005-0000-0000-000000000000}"/>
    <cellStyle name="20% - Accent1" xfId="24" builtinId="30" customBuiltin="1"/>
    <cellStyle name="20% - Accent1 2" xfId="50" xr:uid="{00000000-0005-0000-0000-000002000000}"/>
    <cellStyle name="20% - Accent2" xfId="28" builtinId="34" customBuiltin="1"/>
    <cellStyle name="20% - Accent2 2" xfId="51" xr:uid="{00000000-0005-0000-0000-000004000000}"/>
    <cellStyle name="20% - Accent3" xfId="32" builtinId="38" customBuiltin="1"/>
    <cellStyle name="20% - Accent3 2" xfId="52" xr:uid="{00000000-0005-0000-0000-000006000000}"/>
    <cellStyle name="20% - Accent4" xfId="36" builtinId="42" customBuiltin="1"/>
    <cellStyle name="20% - Accent4 2" xfId="53" xr:uid="{00000000-0005-0000-0000-000008000000}"/>
    <cellStyle name="20% - Accent5" xfId="40" builtinId="46" customBuiltin="1"/>
    <cellStyle name="20% - Accent5 2" xfId="54" xr:uid="{00000000-0005-0000-0000-00000A000000}"/>
    <cellStyle name="20% - Accent6" xfId="44" builtinId="50" customBuiltin="1"/>
    <cellStyle name="20% - Accent6 2" xfId="55" xr:uid="{00000000-0005-0000-0000-00000C000000}"/>
    <cellStyle name="40% - Accent1" xfId="25" builtinId="31" customBuiltin="1"/>
    <cellStyle name="40% - Accent1 2" xfId="56" xr:uid="{00000000-0005-0000-0000-00000E000000}"/>
    <cellStyle name="40% - Accent2" xfId="29" builtinId="35" customBuiltin="1"/>
    <cellStyle name="40% - Accent2 2" xfId="57" xr:uid="{00000000-0005-0000-0000-000010000000}"/>
    <cellStyle name="40% - Accent3" xfId="33" builtinId="39" customBuiltin="1"/>
    <cellStyle name="40% - Accent3 2" xfId="58" xr:uid="{00000000-0005-0000-0000-000012000000}"/>
    <cellStyle name="40% - Accent4" xfId="37" builtinId="43" customBuiltin="1"/>
    <cellStyle name="40% - Accent4 2" xfId="59" xr:uid="{00000000-0005-0000-0000-000014000000}"/>
    <cellStyle name="40% - Accent5" xfId="41" builtinId="47" customBuiltin="1"/>
    <cellStyle name="40% - Accent5 2" xfId="60" xr:uid="{00000000-0005-0000-0000-000016000000}"/>
    <cellStyle name="40% - Accent6" xfId="45" builtinId="51" customBuiltin="1"/>
    <cellStyle name="40% - Accent6 2" xfId="61" xr:uid="{00000000-0005-0000-0000-000018000000}"/>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6" builtinId="52" customBuiltin="1"/>
    <cellStyle name="A2.Heading1" xfId="474" xr:uid="{00000000-0005-0000-0000-00001F000000}"/>
    <cellStyle name="Accent1" xfId="23" builtinId="29" customBuiltin="1"/>
    <cellStyle name="Accent1 - 20%" xfId="473" xr:uid="{00000000-0005-0000-0000-000021000000}"/>
    <cellStyle name="Accent1 - 40%" xfId="472" xr:uid="{00000000-0005-0000-0000-000022000000}"/>
    <cellStyle name="Accent1 - 60%" xfId="471" xr:uid="{00000000-0005-0000-0000-000023000000}"/>
    <cellStyle name="Accent2" xfId="27" builtinId="33" customBuiltin="1"/>
    <cellStyle name="Accent2 - 20%" xfId="470" xr:uid="{00000000-0005-0000-0000-000025000000}"/>
    <cellStyle name="Accent2 - 40%" xfId="469" xr:uid="{00000000-0005-0000-0000-000026000000}"/>
    <cellStyle name="Accent2 - 60%" xfId="468" xr:uid="{00000000-0005-0000-0000-000027000000}"/>
    <cellStyle name="Accent3" xfId="31" builtinId="37" customBuiltin="1"/>
    <cellStyle name="Accent3 - 20%" xfId="467" xr:uid="{00000000-0005-0000-0000-000029000000}"/>
    <cellStyle name="Accent3 - 40%" xfId="466" xr:uid="{00000000-0005-0000-0000-00002A000000}"/>
    <cellStyle name="Accent3 - 60%" xfId="465" xr:uid="{00000000-0005-0000-0000-00002B000000}"/>
    <cellStyle name="Accent4" xfId="35" builtinId="41" customBuiltin="1"/>
    <cellStyle name="Accent4 - 20%" xfId="464" xr:uid="{00000000-0005-0000-0000-00002D000000}"/>
    <cellStyle name="Accent4 - 40%" xfId="463" xr:uid="{00000000-0005-0000-0000-00002E000000}"/>
    <cellStyle name="Accent4 - 60%" xfId="462" xr:uid="{00000000-0005-0000-0000-00002F000000}"/>
    <cellStyle name="Accent5" xfId="39" builtinId="45" customBuiltin="1"/>
    <cellStyle name="Accent5 - 20%" xfId="461" xr:uid="{00000000-0005-0000-0000-000031000000}"/>
    <cellStyle name="Accent5 - 40%" xfId="460" xr:uid="{00000000-0005-0000-0000-000032000000}"/>
    <cellStyle name="Accent5 - 60%" xfId="459" xr:uid="{00000000-0005-0000-0000-000033000000}"/>
    <cellStyle name="Accent6" xfId="43" builtinId="49" customBuiltin="1"/>
    <cellStyle name="Accent6 - 20%" xfId="458" xr:uid="{00000000-0005-0000-0000-000035000000}"/>
    <cellStyle name="Accent6 - 40%" xfId="457" xr:uid="{00000000-0005-0000-0000-000036000000}"/>
    <cellStyle name="Accent6 - 60%" xfId="456" xr:uid="{00000000-0005-0000-0000-000037000000}"/>
    <cellStyle name="Bad" xfId="12" builtinId="27" customBuiltin="1"/>
    <cellStyle name="Calculation" xfId="16" builtinId="22" customBuiltin="1"/>
    <cellStyle name="Check Cell" xfId="18" builtinId="23" customBuiltin="1"/>
    <cellStyle name="Comma" xfId="3" builtinId="3"/>
    <cellStyle name="Comma 10" xfId="455" xr:uid="{00000000-0005-0000-0000-00003C000000}"/>
    <cellStyle name="Comma 2" xfId="62" xr:uid="{00000000-0005-0000-0000-00003D000000}"/>
    <cellStyle name="Comma 2 2" xfId="63" xr:uid="{00000000-0005-0000-0000-00003E000000}"/>
    <cellStyle name="Comma 2 2 2" xfId="454" xr:uid="{00000000-0005-0000-0000-00003F000000}"/>
    <cellStyle name="Comma 2 3" xfId="64" xr:uid="{00000000-0005-0000-0000-000040000000}"/>
    <cellStyle name="Comma 2 4" xfId="65" xr:uid="{00000000-0005-0000-0000-000041000000}"/>
    <cellStyle name="Comma 2 5" xfId="66" xr:uid="{00000000-0005-0000-0000-000042000000}"/>
    <cellStyle name="Comma 2 6" xfId="67" xr:uid="{00000000-0005-0000-0000-000043000000}"/>
    <cellStyle name="Comma 2 7" xfId="68" xr:uid="{00000000-0005-0000-0000-000044000000}"/>
    <cellStyle name="Comma 2 8" xfId="69" xr:uid="{00000000-0005-0000-0000-000045000000}"/>
    <cellStyle name="Comma 3" xfId="70" xr:uid="{00000000-0005-0000-0000-000046000000}"/>
    <cellStyle name="Comma 3 10" xfId="71" xr:uid="{00000000-0005-0000-0000-000047000000}"/>
    <cellStyle name="Comma 3 2" xfId="72" xr:uid="{00000000-0005-0000-0000-000048000000}"/>
    <cellStyle name="Comma 3 3" xfId="73" xr:uid="{00000000-0005-0000-0000-000049000000}"/>
    <cellStyle name="Comma 3 4" xfId="74" xr:uid="{00000000-0005-0000-0000-00004A000000}"/>
    <cellStyle name="Comma 3 5" xfId="75" xr:uid="{00000000-0005-0000-0000-00004B000000}"/>
    <cellStyle name="Comma 3 6" xfId="76" xr:uid="{00000000-0005-0000-0000-00004C000000}"/>
    <cellStyle name="Comma 3 7" xfId="77" xr:uid="{00000000-0005-0000-0000-00004D000000}"/>
    <cellStyle name="Comma 3 8" xfId="78" xr:uid="{00000000-0005-0000-0000-00004E000000}"/>
    <cellStyle name="Comma 3 9" xfId="79" xr:uid="{00000000-0005-0000-0000-00004F000000}"/>
    <cellStyle name="Comma 4" xfId="80" xr:uid="{00000000-0005-0000-0000-000050000000}"/>
    <cellStyle name="Comma 4 2" xfId="81" xr:uid="{00000000-0005-0000-0000-000051000000}"/>
    <cellStyle name="Comma 4 3" xfId="82" xr:uid="{00000000-0005-0000-0000-000052000000}"/>
    <cellStyle name="Comma 4 4" xfId="83" xr:uid="{00000000-0005-0000-0000-000053000000}"/>
    <cellStyle name="Comma 4 5" xfId="84" xr:uid="{00000000-0005-0000-0000-000054000000}"/>
    <cellStyle name="Comma 4 6" xfId="85" xr:uid="{00000000-0005-0000-0000-000055000000}"/>
    <cellStyle name="Comma 4 7" xfId="86" xr:uid="{00000000-0005-0000-0000-000056000000}"/>
    <cellStyle name="Comma 5" xfId="87" xr:uid="{00000000-0005-0000-0000-000057000000}"/>
    <cellStyle name="Comma 6" xfId="453" xr:uid="{00000000-0005-0000-0000-000058000000}"/>
    <cellStyle name="Comma 7" xfId="452" xr:uid="{00000000-0005-0000-0000-000059000000}"/>
    <cellStyle name="Comma 8" xfId="451" xr:uid="{00000000-0005-0000-0000-00005A000000}"/>
    <cellStyle name="Comma 9" xfId="450" xr:uid="{00000000-0005-0000-0000-00005B000000}"/>
    <cellStyle name="Currency" xfId="1" builtinId="4"/>
    <cellStyle name="Currency 10" xfId="88" xr:uid="{00000000-0005-0000-0000-00005D000000}"/>
    <cellStyle name="Currency 2" xfId="89" xr:uid="{00000000-0005-0000-0000-00005E000000}"/>
    <cellStyle name="Currency 2 2" xfId="90" xr:uid="{00000000-0005-0000-0000-00005F000000}"/>
    <cellStyle name="Currency 2 2 2" xfId="91" xr:uid="{00000000-0005-0000-0000-000060000000}"/>
    <cellStyle name="Currency 2 2 3" xfId="92" xr:uid="{00000000-0005-0000-0000-000061000000}"/>
    <cellStyle name="Currency 2 2 4" xfId="93" xr:uid="{00000000-0005-0000-0000-000062000000}"/>
    <cellStyle name="Currency 2 2 5" xfId="476" xr:uid="{85E1E813-5D22-4B68-BCEA-FFBB85253588}"/>
    <cellStyle name="Currency 2 3" xfId="94" xr:uid="{00000000-0005-0000-0000-000063000000}"/>
    <cellStyle name="Currency 2 4" xfId="95" xr:uid="{00000000-0005-0000-0000-000064000000}"/>
    <cellStyle name="Currency 2 5" xfId="96" xr:uid="{00000000-0005-0000-0000-000065000000}"/>
    <cellStyle name="Currency 3" xfId="97" xr:uid="{00000000-0005-0000-0000-000066000000}"/>
    <cellStyle name="Currency 3 2" xfId="98" xr:uid="{00000000-0005-0000-0000-000067000000}"/>
    <cellStyle name="Currency 3 3" xfId="99" xr:uid="{00000000-0005-0000-0000-000068000000}"/>
    <cellStyle name="Currency 3 4" xfId="100" xr:uid="{00000000-0005-0000-0000-000069000000}"/>
    <cellStyle name="Currency 4" xfId="101" xr:uid="{00000000-0005-0000-0000-00006A000000}"/>
    <cellStyle name="Currency 4 2" xfId="102" xr:uid="{00000000-0005-0000-0000-00006B000000}"/>
    <cellStyle name="Currency 4 3" xfId="103" xr:uid="{00000000-0005-0000-0000-00006C000000}"/>
    <cellStyle name="Currency 4 4" xfId="104" xr:uid="{00000000-0005-0000-0000-00006D000000}"/>
    <cellStyle name="Currency 5" xfId="105" xr:uid="{00000000-0005-0000-0000-00006E000000}"/>
    <cellStyle name="Currency 5 2" xfId="106" xr:uid="{00000000-0005-0000-0000-00006F000000}"/>
    <cellStyle name="Currency 5 3" xfId="107" xr:uid="{00000000-0005-0000-0000-000070000000}"/>
    <cellStyle name="Currency 5 4" xfId="108" xr:uid="{00000000-0005-0000-0000-000071000000}"/>
    <cellStyle name="Currency 6" xfId="109" xr:uid="{00000000-0005-0000-0000-000072000000}"/>
    <cellStyle name="Currency 6 2" xfId="110" xr:uid="{00000000-0005-0000-0000-000073000000}"/>
    <cellStyle name="Currency 6 3" xfId="111" xr:uid="{00000000-0005-0000-0000-000074000000}"/>
    <cellStyle name="Currency 6 4" xfId="112" xr:uid="{00000000-0005-0000-0000-000075000000}"/>
    <cellStyle name="Currency 7" xfId="113" xr:uid="{00000000-0005-0000-0000-000076000000}"/>
    <cellStyle name="Currency 7 2" xfId="114" xr:uid="{00000000-0005-0000-0000-000077000000}"/>
    <cellStyle name="Currency 7 3" xfId="115" xr:uid="{00000000-0005-0000-0000-000078000000}"/>
    <cellStyle name="Currency 7 4" xfId="116" xr:uid="{00000000-0005-0000-0000-000079000000}"/>
    <cellStyle name="Currency 8" xfId="117" xr:uid="{00000000-0005-0000-0000-00007A000000}"/>
    <cellStyle name="Currency 9" xfId="118" xr:uid="{00000000-0005-0000-0000-00007B000000}"/>
    <cellStyle name="Date" xfId="449" xr:uid="{00000000-0005-0000-0000-00007C000000}"/>
    <cellStyle name="Emphasis 1" xfId="448" xr:uid="{00000000-0005-0000-0000-00007D000000}"/>
    <cellStyle name="Emphasis 2" xfId="447" xr:uid="{00000000-0005-0000-0000-00007E000000}"/>
    <cellStyle name="Emphasis 3" xfId="446" xr:uid="{00000000-0005-0000-0000-00007F000000}"/>
    <cellStyle name="Explanatory Text" xfId="21" builtinId="53" customBuiltin="1"/>
    <cellStyle name="Fixed" xfId="445" xr:uid="{00000000-0005-0000-0000-000081000000}"/>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eading1" xfId="444" xr:uid="{00000000-0005-0000-0000-000087000000}"/>
    <cellStyle name="Heading2" xfId="443" xr:uid="{00000000-0005-0000-0000-000088000000}"/>
    <cellStyle name="Hyperlink" xfId="2" builtinId="8"/>
    <cellStyle name="Hyperlink 2" xfId="442" xr:uid="{00000000-0005-0000-0000-00008A000000}"/>
    <cellStyle name="Hyperlink 2 2" xfId="441" xr:uid="{00000000-0005-0000-0000-00008B000000}"/>
    <cellStyle name="Input" xfId="14" builtinId="20" customBuiltin="1"/>
    <cellStyle name="Linked Cell" xfId="17" builtinId="24" customBuiltin="1"/>
    <cellStyle name="Milliers 2" xfId="440" xr:uid="{00000000-0005-0000-0000-00008E000000}"/>
    <cellStyle name="Monétaire 2" xfId="439" xr:uid="{00000000-0005-0000-0000-00008F000000}"/>
    <cellStyle name="Neutral" xfId="13" builtinId="28" customBuiltin="1"/>
    <cellStyle name="Normal" xfId="0" builtinId="0"/>
    <cellStyle name="Normal - Style1" xfId="438" xr:uid="{00000000-0005-0000-0000-000092000000}"/>
    <cellStyle name="Normal - Style2" xfId="437" xr:uid="{00000000-0005-0000-0000-000093000000}"/>
    <cellStyle name="Normal - Style3" xfId="436" xr:uid="{00000000-0005-0000-0000-000094000000}"/>
    <cellStyle name="Normal - Style4" xfId="435" xr:uid="{00000000-0005-0000-0000-000095000000}"/>
    <cellStyle name="Normal - Style5" xfId="434" xr:uid="{00000000-0005-0000-0000-000096000000}"/>
    <cellStyle name="Normal - Style6" xfId="433" xr:uid="{00000000-0005-0000-0000-000097000000}"/>
    <cellStyle name="Normal - Style7" xfId="432" xr:uid="{00000000-0005-0000-0000-000098000000}"/>
    <cellStyle name="Normal - Style8" xfId="431" xr:uid="{00000000-0005-0000-0000-000099000000}"/>
    <cellStyle name="Normal 10" xfId="119" xr:uid="{00000000-0005-0000-0000-00009A000000}"/>
    <cellStyle name="Normal 10 2" xfId="120" xr:uid="{00000000-0005-0000-0000-00009B000000}"/>
    <cellStyle name="Normal 10 2 2" xfId="121" xr:uid="{00000000-0005-0000-0000-00009C000000}"/>
    <cellStyle name="Normal 10 2 3" xfId="122" xr:uid="{00000000-0005-0000-0000-00009D000000}"/>
    <cellStyle name="Normal 10 2 4" xfId="123" xr:uid="{00000000-0005-0000-0000-00009E000000}"/>
    <cellStyle name="Normal 10 3" xfId="124" xr:uid="{00000000-0005-0000-0000-00009F000000}"/>
    <cellStyle name="Normal 10 3 2" xfId="125" xr:uid="{00000000-0005-0000-0000-0000A0000000}"/>
    <cellStyle name="Normal 10 3 3" xfId="126" xr:uid="{00000000-0005-0000-0000-0000A1000000}"/>
    <cellStyle name="Normal 10 3 4" xfId="127" xr:uid="{00000000-0005-0000-0000-0000A2000000}"/>
    <cellStyle name="Normal 10 4" xfId="128" xr:uid="{00000000-0005-0000-0000-0000A3000000}"/>
    <cellStyle name="Normal 10 4 2" xfId="129" xr:uid="{00000000-0005-0000-0000-0000A4000000}"/>
    <cellStyle name="Normal 10 4 3" xfId="130" xr:uid="{00000000-0005-0000-0000-0000A5000000}"/>
    <cellStyle name="Normal 10 4 4" xfId="131" xr:uid="{00000000-0005-0000-0000-0000A6000000}"/>
    <cellStyle name="Normal 10 5" xfId="132" xr:uid="{00000000-0005-0000-0000-0000A7000000}"/>
    <cellStyle name="Normal 10 6" xfId="133" xr:uid="{00000000-0005-0000-0000-0000A8000000}"/>
    <cellStyle name="Normal 10 7" xfId="134" xr:uid="{00000000-0005-0000-0000-0000A9000000}"/>
    <cellStyle name="Normal 11" xfId="135" xr:uid="{00000000-0005-0000-0000-0000AA000000}"/>
    <cellStyle name="Normal 11 2" xfId="136" xr:uid="{00000000-0005-0000-0000-0000AB000000}"/>
    <cellStyle name="Normal 11 3" xfId="137" xr:uid="{00000000-0005-0000-0000-0000AC000000}"/>
    <cellStyle name="Normal 11 4" xfId="138" xr:uid="{00000000-0005-0000-0000-0000AD000000}"/>
    <cellStyle name="Normal 12" xfId="139" xr:uid="{00000000-0005-0000-0000-0000AE000000}"/>
    <cellStyle name="Normal 12 2" xfId="140" xr:uid="{00000000-0005-0000-0000-0000AF000000}"/>
    <cellStyle name="Normal 12 3" xfId="141" xr:uid="{00000000-0005-0000-0000-0000B0000000}"/>
    <cellStyle name="Normal 12 4" xfId="142" xr:uid="{00000000-0005-0000-0000-0000B1000000}"/>
    <cellStyle name="Normal 13" xfId="143" xr:uid="{00000000-0005-0000-0000-0000B2000000}"/>
    <cellStyle name="Normal 13 2" xfId="144" xr:uid="{00000000-0005-0000-0000-0000B3000000}"/>
    <cellStyle name="Normal 13 3" xfId="145" xr:uid="{00000000-0005-0000-0000-0000B4000000}"/>
    <cellStyle name="Normal 13 4" xfId="146" xr:uid="{00000000-0005-0000-0000-0000B5000000}"/>
    <cellStyle name="Normal 14" xfId="147" xr:uid="{00000000-0005-0000-0000-0000B6000000}"/>
    <cellStyle name="Normal 15" xfId="148" xr:uid="{00000000-0005-0000-0000-0000B7000000}"/>
    <cellStyle name="Normal 16" xfId="149" xr:uid="{00000000-0005-0000-0000-0000B8000000}"/>
    <cellStyle name="Normal 17" xfId="150" xr:uid="{00000000-0005-0000-0000-0000B9000000}"/>
    <cellStyle name="Normal 18" xfId="49" xr:uid="{00000000-0005-0000-0000-0000BA000000}"/>
    <cellStyle name="Normal 19" xfId="151" xr:uid="{00000000-0005-0000-0000-0000BB000000}"/>
    <cellStyle name="Normal 2" xfId="5" xr:uid="{00000000-0005-0000-0000-0000BC000000}"/>
    <cellStyle name="Normal 2 10" xfId="152" xr:uid="{00000000-0005-0000-0000-0000BD000000}"/>
    <cellStyle name="Normal 2 10 2" xfId="153" xr:uid="{00000000-0005-0000-0000-0000BE000000}"/>
    <cellStyle name="Normal 2 10 3" xfId="154" xr:uid="{00000000-0005-0000-0000-0000BF000000}"/>
    <cellStyle name="Normal 2 10 4" xfId="155" xr:uid="{00000000-0005-0000-0000-0000C0000000}"/>
    <cellStyle name="Normal 2 11" xfId="156" xr:uid="{00000000-0005-0000-0000-0000C1000000}"/>
    <cellStyle name="Normal 2 12" xfId="157" xr:uid="{00000000-0005-0000-0000-0000C2000000}"/>
    <cellStyle name="Normal 2 13" xfId="158" xr:uid="{00000000-0005-0000-0000-0000C3000000}"/>
    <cellStyle name="Normal 2 14" xfId="159" xr:uid="{00000000-0005-0000-0000-0000C4000000}"/>
    <cellStyle name="Normal 2 15" xfId="160" xr:uid="{00000000-0005-0000-0000-0000C5000000}"/>
    <cellStyle name="Normal 2 16" xfId="161" xr:uid="{00000000-0005-0000-0000-0000C6000000}"/>
    <cellStyle name="Normal 2 2" xfId="47" xr:uid="{00000000-0005-0000-0000-0000C7000000}"/>
    <cellStyle name="Normal 2 2 2" xfId="162" xr:uid="{00000000-0005-0000-0000-0000C8000000}"/>
    <cellStyle name="Normal 2 2 2 2" xfId="163" xr:uid="{00000000-0005-0000-0000-0000C9000000}"/>
    <cellStyle name="Normal 2 2 2 3" xfId="164" xr:uid="{00000000-0005-0000-0000-0000CA000000}"/>
    <cellStyle name="Normal 2 2 2 4" xfId="165" xr:uid="{00000000-0005-0000-0000-0000CB000000}"/>
    <cellStyle name="Normal 2 2 3" xfId="166" xr:uid="{00000000-0005-0000-0000-0000CC000000}"/>
    <cellStyle name="Normal 2 2 4" xfId="167" xr:uid="{00000000-0005-0000-0000-0000CD000000}"/>
    <cellStyle name="Normal 2 2 5" xfId="168" xr:uid="{00000000-0005-0000-0000-0000CE000000}"/>
    <cellStyle name="Normal 2 2 6" xfId="169" xr:uid="{00000000-0005-0000-0000-0000CF000000}"/>
    <cellStyle name="Normal 2 2 7" xfId="170" xr:uid="{00000000-0005-0000-0000-0000D0000000}"/>
    <cellStyle name="Normal 2 3" xfId="171" xr:uid="{00000000-0005-0000-0000-0000D1000000}"/>
    <cellStyle name="Normal 2 3 2" xfId="172" xr:uid="{00000000-0005-0000-0000-0000D2000000}"/>
    <cellStyle name="Normal 2 3 3" xfId="173" xr:uid="{00000000-0005-0000-0000-0000D3000000}"/>
    <cellStyle name="Normal 2 3 4" xfId="174" xr:uid="{00000000-0005-0000-0000-0000D4000000}"/>
    <cellStyle name="Normal 2 4" xfId="175" xr:uid="{00000000-0005-0000-0000-0000D5000000}"/>
    <cellStyle name="Normal 2 4 2" xfId="176" xr:uid="{00000000-0005-0000-0000-0000D6000000}"/>
    <cellStyle name="Normal 2 4 3" xfId="177" xr:uid="{00000000-0005-0000-0000-0000D7000000}"/>
    <cellStyle name="Normal 2 4 4" xfId="178" xr:uid="{00000000-0005-0000-0000-0000D8000000}"/>
    <cellStyle name="Normal 2 5" xfId="179" xr:uid="{00000000-0005-0000-0000-0000D9000000}"/>
    <cellStyle name="Normal 2 5 2" xfId="180" xr:uid="{00000000-0005-0000-0000-0000DA000000}"/>
    <cellStyle name="Normal 2 5 3" xfId="181" xr:uid="{00000000-0005-0000-0000-0000DB000000}"/>
    <cellStyle name="Normal 2 5 4" xfId="182" xr:uid="{00000000-0005-0000-0000-0000DC000000}"/>
    <cellStyle name="Normal 2 6" xfId="183" xr:uid="{00000000-0005-0000-0000-0000DD000000}"/>
    <cellStyle name="Normal 2 6 2" xfId="184" xr:uid="{00000000-0005-0000-0000-0000DE000000}"/>
    <cellStyle name="Normal 2 6 3" xfId="185" xr:uid="{00000000-0005-0000-0000-0000DF000000}"/>
    <cellStyle name="Normal 2 6 4" xfId="186" xr:uid="{00000000-0005-0000-0000-0000E0000000}"/>
    <cellStyle name="Normal 2 7" xfId="187" xr:uid="{00000000-0005-0000-0000-0000E1000000}"/>
    <cellStyle name="Normal 2 7 2" xfId="188" xr:uid="{00000000-0005-0000-0000-0000E2000000}"/>
    <cellStyle name="Normal 2 7 3" xfId="189" xr:uid="{00000000-0005-0000-0000-0000E3000000}"/>
    <cellStyle name="Normal 2 7 4" xfId="190" xr:uid="{00000000-0005-0000-0000-0000E4000000}"/>
    <cellStyle name="Normal 2 8" xfId="191" xr:uid="{00000000-0005-0000-0000-0000E5000000}"/>
    <cellStyle name="Normal 2 8 2" xfId="192" xr:uid="{00000000-0005-0000-0000-0000E6000000}"/>
    <cellStyle name="Normal 2 8 3" xfId="193" xr:uid="{00000000-0005-0000-0000-0000E7000000}"/>
    <cellStyle name="Normal 2 8 4" xfId="194" xr:uid="{00000000-0005-0000-0000-0000E8000000}"/>
    <cellStyle name="Normal 2 9" xfId="195" xr:uid="{00000000-0005-0000-0000-0000E9000000}"/>
    <cellStyle name="Normal 2 9 2" xfId="196" xr:uid="{00000000-0005-0000-0000-0000EA000000}"/>
    <cellStyle name="Normal 2 9 3" xfId="197" xr:uid="{00000000-0005-0000-0000-0000EB000000}"/>
    <cellStyle name="Normal 2 9 4" xfId="198" xr:uid="{00000000-0005-0000-0000-0000EC000000}"/>
    <cellStyle name="Normal 20" xfId="477" xr:uid="{4BFB1CDE-BF9D-44CC-B5A1-62CBA7570DB7}"/>
    <cellStyle name="Normal 28" xfId="430" xr:uid="{00000000-0005-0000-0000-0000ED000000}"/>
    <cellStyle name="Normal 28 2" xfId="429" xr:uid="{00000000-0005-0000-0000-0000EE000000}"/>
    <cellStyle name="Normal 3" xfId="199" xr:uid="{00000000-0005-0000-0000-0000EF000000}"/>
    <cellStyle name="Normal 3 2" xfId="200" xr:uid="{00000000-0005-0000-0000-0000F0000000}"/>
    <cellStyle name="Normal 3 2 2" xfId="48" xr:uid="{00000000-0005-0000-0000-0000F1000000}"/>
    <cellStyle name="Normal 3 2 2 2" xfId="201" xr:uid="{00000000-0005-0000-0000-0000F2000000}"/>
    <cellStyle name="Normal 3 2 2 3" xfId="202" xr:uid="{00000000-0005-0000-0000-0000F3000000}"/>
    <cellStyle name="Normal 3 2 3" xfId="203" xr:uid="{00000000-0005-0000-0000-0000F4000000}"/>
    <cellStyle name="Normal 3 2 4" xfId="204" xr:uid="{00000000-0005-0000-0000-0000F5000000}"/>
    <cellStyle name="Normal 3 3" xfId="205" xr:uid="{00000000-0005-0000-0000-0000F6000000}"/>
    <cellStyle name="Normal 3 3 2" xfId="428" xr:uid="{00000000-0005-0000-0000-0000F7000000}"/>
    <cellStyle name="Normal 32" xfId="427" xr:uid="{00000000-0005-0000-0000-0000F8000000}"/>
    <cellStyle name="Normal 32 2" xfId="426" xr:uid="{00000000-0005-0000-0000-0000F9000000}"/>
    <cellStyle name="Normal 34" xfId="425" xr:uid="{00000000-0005-0000-0000-0000FA000000}"/>
    <cellStyle name="Normal 34 2" xfId="424" xr:uid="{00000000-0005-0000-0000-0000FB000000}"/>
    <cellStyle name="Normal 36" xfId="423" xr:uid="{00000000-0005-0000-0000-0000FC000000}"/>
    <cellStyle name="Normal 36 2" xfId="422" xr:uid="{00000000-0005-0000-0000-0000FD000000}"/>
    <cellStyle name="Normal 4" xfId="206" xr:uid="{00000000-0005-0000-0000-0000FE000000}"/>
    <cellStyle name="Normal 4 2" xfId="207" xr:uid="{00000000-0005-0000-0000-0000FF000000}"/>
    <cellStyle name="Normal 4 3" xfId="208" xr:uid="{00000000-0005-0000-0000-000000010000}"/>
    <cellStyle name="Normal 4 4" xfId="209" xr:uid="{00000000-0005-0000-0000-000001010000}"/>
    <cellStyle name="Normal 42" xfId="421" xr:uid="{00000000-0005-0000-0000-000002010000}"/>
    <cellStyle name="Normal 42 2" xfId="420" xr:uid="{00000000-0005-0000-0000-000003010000}"/>
    <cellStyle name="Normal 49" xfId="419" xr:uid="{00000000-0005-0000-0000-000004010000}"/>
    <cellStyle name="Normal 49 2" xfId="418" xr:uid="{00000000-0005-0000-0000-000005010000}"/>
    <cellStyle name="Normal 49 3" xfId="417" xr:uid="{00000000-0005-0000-0000-000006010000}"/>
    <cellStyle name="Normal 5" xfId="210" xr:uid="{00000000-0005-0000-0000-000007010000}"/>
    <cellStyle name="Normal 5 10" xfId="211" xr:uid="{00000000-0005-0000-0000-000008010000}"/>
    <cellStyle name="Normal 5 11" xfId="212" xr:uid="{00000000-0005-0000-0000-000009010000}"/>
    <cellStyle name="Normal 5 12" xfId="213" xr:uid="{00000000-0005-0000-0000-00000A010000}"/>
    <cellStyle name="Normal 5 2" xfId="214" xr:uid="{00000000-0005-0000-0000-00000B010000}"/>
    <cellStyle name="Normal 5 2 2" xfId="215" xr:uid="{00000000-0005-0000-0000-00000C010000}"/>
    <cellStyle name="Normal 5 2 3" xfId="216" xr:uid="{00000000-0005-0000-0000-00000D010000}"/>
    <cellStyle name="Normal 5 2 4" xfId="217" xr:uid="{00000000-0005-0000-0000-00000E010000}"/>
    <cellStyle name="Normal 5 3" xfId="218" xr:uid="{00000000-0005-0000-0000-00000F010000}"/>
    <cellStyle name="Normal 5 3 2" xfId="219" xr:uid="{00000000-0005-0000-0000-000010010000}"/>
    <cellStyle name="Normal 5 3 3" xfId="220" xr:uid="{00000000-0005-0000-0000-000011010000}"/>
    <cellStyle name="Normal 5 3 4" xfId="221" xr:uid="{00000000-0005-0000-0000-000012010000}"/>
    <cellStyle name="Normal 5 4" xfId="222" xr:uid="{00000000-0005-0000-0000-000013010000}"/>
    <cellStyle name="Normal 5 4 2" xfId="223" xr:uid="{00000000-0005-0000-0000-000014010000}"/>
    <cellStyle name="Normal 5 4 3" xfId="224" xr:uid="{00000000-0005-0000-0000-000015010000}"/>
    <cellStyle name="Normal 5 4 4" xfId="225" xr:uid="{00000000-0005-0000-0000-000016010000}"/>
    <cellStyle name="Normal 5 5" xfId="226" xr:uid="{00000000-0005-0000-0000-000017010000}"/>
    <cellStyle name="Normal 5 5 2" xfId="227" xr:uid="{00000000-0005-0000-0000-000018010000}"/>
    <cellStyle name="Normal 5 5 3" xfId="228" xr:uid="{00000000-0005-0000-0000-000019010000}"/>
    <cellStyle name="Normal 5 5 4" xfId="229" xr:uid="{00000000-0005-0000-0000-00001A010000}"/>
    <cellStyle name="Normal 5 6" xfId="230" xr:uid="{00000000-0005-0000-0000-00001B010000}"/>
    <cellStyle name="Normal 5 6 2" xfId="231" xr:uid="{00000000-0005-0000-0000-00001C010000}"/>
    <cellStyle name="Normal 5 6 3" xfId="232" xr:uid="{00000000-0005-0000-0000-00001D010000}"/>
    <cellStyle name="Normal 5 6 4" xfId="233" xr:uid="{00000000-0005-0000-0000-00001E010000}"/>
    <cellStyle name="Normal 5 7" xfId="234" xr:uid="{00000000-0005-0000-0000-00001F010000}"/>
    <cellStyle name="Normal 5 7 2" xfId="235" xr:uid="{00000000-0005-0000-0000-000020010000}"/>
    <cellStyle name="Normal 5 7 3" xfId="236" xr:uid="{00000000-0005-0000-0000-000021010000}"/>
    <cellStyle name="Normal 5 7 4" xfId="237" xr:uid="{00000000-0005-0000-0000-000022010000}"/>
    <cellStyle name="Normal 5 8" xfId="238" xr:uid="{00000000-0005-0000-0000-000023010000}"/>
    <cellStyle name="Normal 5 9" xfId="239" xr:uid="{00000000-0005-0000-0000-000024010000}"/>
    <cellStyle name="Normal 6" xfId="240" xr:uid="{00000000-0005-0000-0000-000025010000}"/>
    <cellStyle name="Normal 6 10" xfId="241" xr:uid="{00000000-0005-0000-0000-000026010000}"/>
    <cellStyle name="Normal 6 2" xfId="242" xr:uid="{00000000-0005-0000-0000-000027010000}"/>
    <cellStyle name="Normal 6 2 2" xfId="243" xr:uid="{00000000-0005-0000-0000-000028010000}"/>
    <cellStyle name="Normal 6 2 3" xfId="244" xr:uid="{00000000-0005-0000-0000-000029010000}"/>
    <cellStyle name="Normal 6 2 4" xfId="245" xr:uid="{00000000-0005-0000-0000-00002A010000}"/>
    <cellStyle name="Normal 6 3" xfId="246" xr:uid="{00000000-0005-0000-0000-00002B010000}"/>
    <cellStyle name="Normal 6 3 2" xfId="247" xr:uid="{00000000-0005-0000-0000-00002C010000}"/>
    <cellStyle name="Normal 6 3 3" xfId="248" xr:uid="{00000000-0005-0000-0000-00002D010000}"/>
    <cellStyle name="Normal 6 3 4" xfId="249" xr:uid="{00000000-0005-0000-0000-00002E010000}"/>
    <cellStyle name="Normal 6 4" xfId="250" xr:uid="{00000000-0005-0000-0000-00002F010000}"/>
    <cellStyle name="Normal 6 4 2" xfId="251" xr:uid="{00000000-0005-0000-0000-000030010000}"/>
    <cellStyle name="Normal 6 4 3" xfId="252" xr:uid="{00000000-0005-0000-0000-000031010000}"/>
    <cellStyle name="Normal 6 4 4" xfId="253" xr:uid="{00000000-0005-0000-0000-000032010000}"/>
    <cellStyle name="Normal 6 5" xfId="254" xr:uid="{00000000-0005-0000-0000-000033010000}"/>
    <cellStyle name="Normal 6 5 2" xfId="255" xr:uid="{00000000-0005-0000-0000-000034010000}"/>
    <cellStyle name="Normal 6 5 3" xfId="256" xr:uid="{00000000-0005-0000-0000-000035010000}"/>
    <cellStyle name="Normal 6 5 4" xfId="257" xr:uid="{00000000-0005-0000-0000-000036010000}"/>
    <cellStyle name="Normal 6 6" xfId="258" xr:uid="{00000000-0005-0000-0000-000037010000}"/>
    <cellStyle name="Normal 6 6 2" xfId="259" xr:uid="{00000000-0005-0000-0000-000038010000}"/>
    <cellStyle name="Normal 6 6 3" xfId="260" xr:uid="{00000000-0005-0000-0000-000039010000}"/>
    <cellStyle name="Normal 6 6 4" xfId="261" xr:uid="{00000000-0005-0000-0000-00003A010000}"/>
    <cellStyle name="Normal 6 7" xfId="262" xr:uid="{00000000-0005-0000-0000-00003B010000}"/>
    <cellStyle name="Normal 6 7 2" xfId="263" xr:uid="{00000000-0005-0000-0000-00003C010000}"/>
    <cellStyle name="Normal 6 7 3" xfId="264" xr:uid="{00000000-0005-0000-0000-00003D010000}"/>
    <cellStyle name="Normal 6 7 4" xfId="265" xr:uid="{00000000-0005-0000-0000-00003E010000}"/>
    <cellStyle name="Normal 6 8" xfId="266" xr:uid="{00000000-0005-0000-0000-00003F010000}"/>
    <cellStyle name="Normal 6 9" xfId="267" xr:uid="{00000000-0005-0000-0000-000040010000}"/>
    <cellStyle name="Normal 69 2" xfId="416" xr:uid="{00000000-0005-0000-0000-000041010000}"/>
    <cellStyle name="Normal 7" xfId="268" xr:uid="{00000000-0005-0000-0000-000042010000}"/>
    <cellStyle name="Normal 7 10" xfId="269" xr:uid="{00000000-0005-0000-0000-000043010000}"/>
    <cellStyle name="Normal 7 2" xfId="270" xr:uid="{00000000-0005-0000-0000-000044010000}"/>
    <cellStyle name="Normal 7 2 2" xfId="271" xr:uid="{00000000-0005-0000-0000-000045010000}"/>
    <cellStyle name="Normal 7 2 3" xfId="272" xr:uid="{00000000-0005-0000-0000-000046010000}"/>
    <cellStyle name="Normal 7 2 4" xfId="273" xr:uid="{00000000-0005-0000-0000-000047010000}"/>
    <cellStyle name="Normal 7 3" xfId="274" xr:uid="{00000000-0005-0000-0000-000048010000}"/>
    <cellStyle name="Normal 7 3 2" xfId="275" xr:uid="{00000000-0005-0000-0000-000049010000}"/>
    <cellStyle name="Normal 7 3 3" xfId="276" xr:uid="{00000000-0005-0000-0000-00004A010000}"/>
    <cellStyle name="Normal 7 3 4" xfId="277" xr:uid="{00000000-0005-0000-0000-00004B010000}"/>
    <cellStyle name="Normal 7 4" xfId="278" xr:uid="{00000000-0005-0000-0000-00004C010000}"/>
    <cellStyle name="Normal 7 4 2" xfId="279" xr:uid="{00000000-0005-0000-0000-00004D010000}"/>
    <cellStyle name="Normal 7 4 3" xfId="280" xr:uid="{00000000-0005-0000-0000-00004E010000}"/>
    <cellStyle name="Normal 7 4 4" xfId="281" xr:uid="{00000000-0005-0000-0000-00004F010000}"/>
    <cellStyle name="Normal 7 5" xfId="282" xr:uid="{00000000-0005-0000-0000-000050010000}"/>
    <cellStyle name="Normal 7 5 2" xfId="283" xr:uid="{00000000-0005-0000-0000-000051010000}"/>
    <cellStyle name="Normal 7 5 3" xfId="284" xr:uid="{00000000-0005-0000-0000-000052010000}"/>
    <cellStyle name="Normal 7 5 4" xfId="285" xr:uid="{00000000-0005-0000-0000-000053010000}"/>
    <cellStyle name="Normal 7 6" xfId="286" xr:uid="{00000000-0005-0000-0000-000054010000}"/>
    <cellStyle name="Normal 7 6 2" xfId="287" xr:uid="{00000000-0005-0000-0000-000055010000}"/>
    <cellStyle name="Normal 7 6 3" xfId="288" xr:uid="{00000000-0005-0000-0000-000056010000}"/>
    <cellStyle name="Normal 7 6 4" xfId="289" xr:uid="{00000000-0005-0000-0000-000057010000}"/>
    <cellStyle name="Normal 7 7" xfId="290" xr:uid="{00000000-0005-0000-0000-000058010000}"/>
    <cellStyle name="Normal 7 7 2" xfId="291" xr:uid="{00000000-0005-0000-0000-000059010000}"/>
    <cellStyle name="Normal 7 7 3" xfId="292" xr:uid="{00000000-0005-0000-0000-00005A010000}"/>
    <cellStyle name="Normal 7 7 4" xfId="293" xr:uid="{00000000-0005-0000-0000-00005B010000}"/>
    <cellStyle name="Normal 7 8" xfId="294" xr:uid="{00000000-0005-0000-0000-00005C010000}"/>
    <cellStyle name="Normal 7 9" xfId="295" xr:uid="{00000000-0005-0000-0000-00005D010000}"/>
    <cellStyle name="Normal 70" xfId="415" xr:uid="{00000000-0005-0000-0000-00005E010000}"/>
    <cellStyle name="Normal 70 2" xfId="414" xr:uid="{00000000-0005-0000-0000-00005F010000}"/>
    <cellStyle name="Normal 70 3" xfId="413" xr:uid="{00000000-0005-0000-0000-000060010000}"/>
    <cellStyle name="Normal 8" xfId="296" xr:uid="{00000000-0005-0000-0000-000061010000}"/>
    <cellStyle name="Normal 8 2" xfId="297" xr:uid="{00000000-0005-0000-0000-000062010000}"/>
    <cellStyle name="Normal 8 2 2" xfId="298" xr:uid="{00000000-0005-0000-0000-000063010000}"/>
    <cellStyle name="Normal 8 2 3" xfId="299" xr:uid="{00000000-0005-0000-0000-000064010000}"/>
    <cellStyle name="Normal 8 2 4" xfId="300" xr:uid="{00000000-0005-0000-0000-000065010000}"/>
    <cellStyle name="Normal 8 3" xfId="301" xr:uid="{00000000-0005-0000-0000-000066010000}"/>
    <cellStyle name="Normal 8 3 2" xfId="302" xr:uid="{00000000-0005-0000-0000-000067010000}"/>
    <cellStyle name="Normal 8 3 3" xfId="303" xr:uid="{00000000-0005-0000-0000-000068010000}"/>
    <cellStyle name="Normal 8 3 4" xfId="304" xr:uid="{00000000-0005-0000-0000-000069010000}"/>
    <cellStyle name="Normal 8 4" xfId="305" xr:uid="{00000000-0005-0000-0000-00006A010000}"/>
    <cellStyle name="Normal 8 4 2" xfId="306" xr:uid="{00000000-0005-0000-0000-00006B010000}"/>
    <cellStyle name="Normal 8 4 3" xfId="307" xr:uid="{00000000-0005-0000-0000-00006C010000}"/>
    <cellStyle name="Normal 8 4 4" xfId="308" xr:uid="{00000000-0005-0000-0000-00006D010000}"/>
    <cellStyle name="Normal 8 5" xfId="309" xr:uid="{00000000-0005-0000-0000-00006E010000}"/>
    <cellStyle name="Normal 8 6" xfId="310" xr:uid="{00000000-0005-0000-0000-00006F010000}"/>
    <cellStyle name="Normal 8 7" xfId="311" xr:uid="{00000000-0005-0000-0000-000070010000}"/>
    <cellStyle name="Normal 9" xfId="312" xr:uid="{00000000-0005-0000-0000-000071010000}"/>
    <cellStyle name="Normal 9 2" xfId="313" xr:uid="{00000000-0005-0000-0000-000072010000}"/>
    <cellStyle name="Normal 9 2 2" xfId="314" xr:uid="{00000000-0005-0000-0000-000073010000}"/>
    <cellStyle name="Normal 9 2 3" xfId="315" xr:uid="{00000000-0005-0000-0000-000074010000}"/>
    <cellStyle name="Normal 9 2 4" xfId="316" xr:uid="{00000000-0005-0000-0000-000075010000}"/>
    <cellStyle name="Normal 9 3" xfId="317" xr:uid="{00000000-0005-0000-0000-000076010000}"/>
    <cellStyle name="Normal 9 3 2" xfId="318" xr:uid="{00000000-0005-0000-0000-000077010000}"/>
    <cellStyle name="Normal 9 3 3" xfId="319" xr:uid="{00000000-0005-0000-0000-000078010000}"/>
    <cellStyle name="Normal 9 3 4" xfId="320" xr:uid="{00000000-0005-0000-0000-000079010000}"/>
    <cellStyle name="Normal 9 4" xfId="321" xr:uid="{00000000-0005-0000-0000-00007A010000}"/>
    <cellStyle name="Normal 9 4 2" xfId="322" xr:uid="{00000000-0005-0000-0000-00007B010000}"/>
    <cellStyle name="Normal 9 4 3" xfId="323" xr:uid="{00000000-0005-0000-0000-00007C010000}"/>
    <cellStyle name="Normal 9 4 4" xfId="324" xr:uid="{00000000-0005-0000-0000-00007D010000}"/>
    <cellStyle name="Normal 9 5" xfId="325" xr:uid="{00000000-0005-0000-0000-00007E010000}"/>
    <cellStyle name="Normal 9 6" xfId="326" xr:uid="{00000000-0005-0000-0000-00007F010000}"/>
    <cellStyle name="Normal 9 7" xfId="327" xr:uid="{00000000-0005-0000-0000-000080010000}"/>
    <cellStyle name="Note" xfId="20" builtinId="10" customBuiltin="1"/>
    <cellStyle name="Note 10" xfId="328" xr:uid="{00000000-0005-0000-0000-000082010000}"/>
    <cellStyle name="Note 11" xfId="329" xr:uid="{00000000-0005-0000-0000-000083010000}"/>
    <cellStyle name="Note 12" xfId="330" xr:uid="{00000000-0005-0000-0000-000084010000}"/>
    <cellStyle name="Note 2" xfId="331" xr:uid="{00000000-0005-0000-0000-000085010000}"/>
    <cellStyle name="Note 3" xfId="332" xr:uid="{00000000-0005-0000-0000-000086010000}"/>
    <cellStyle name="Note 4" xfId="333" xr:uid="{00000000-0005-0000-0000-000087010000}"/>
    <cellStyle name="Note 5" xfId="334" xr:uid="{00000000-0005-0000-0000-000088010000}"/>
    <cellStyle name="Note 6" xfId="335" xr:uid="{00000000-0005-0000-0000-000089010000}"/>
    <cellStyle name="Note 7" xfId="336" xr:uid="{00000000-0005-0000-0000-00008A010000}"/>
    <cellStyle name="Note 8" xfId="337" xr:uid="{00000000-0005-0000-0000-00008B010000}"/>
    <cellStyle name="Note 9" xfId="338" xr:uid="{00000000-0005-0000-0000-00008C010000}"/>
    <cellStyle name="Output" xfId="15" builtinId="21" customBuiltin="1"/>
    <cellStyle name="Percent" xfId="4" builtinId="5"/>
    <cellStyle name="Percent 2" xfId="339" xr:uid="{00000000-0005-0000-0000-00008F010000}"/>
    <cellStyle name="Percent 2 10" xfId="340" xr:uid="{00000000-0005-0000-0000-000090010000}"/>
    <cellStyle name="Percent 2 11" xfId="341" xr:uid="{00000000-0005-0000-0000-000091010000}"/>
    <cellStyle name="Percent 2 2" xfId="342" xr:uid="{00000000-0005-0000-0000-000092010000}"/>
    <cellStyle name="Percent 2 3" xfId="343" xr:uid="{00000000-0005-0000-0000-000093010000}"/>
    <cellStyle name="Percent 2 3 2" xfId="412" xr:uid="{00000000-0005-0000-0000-000094010000}"/>
    <cellStyle name="Percent 2 4" xfId="344" xr:uid="{00000000-0005-0000-0000-000095010000}"/>
    <cellStyle name="Percent 2 5" xfId="345" xr:uid="{00000000-0005-0000-0000-000096010000}"/>
    <cellStyle name="Percent 2 6" xfId="346" xr:uid="{00000000-0005-0000-0000-000097010000}"/>
    <cellStyle name="Percent 2 7" xfId="347" xr:uid="{00000000-0005-0000-0000-000098010000}"/>
    <cellStyle name="Percent 2 8" xfId="348" xr:uid="{00000000-0005-0000-0000-000099010000}"/>
    <cellStyle name="Percent 2 9" xfId="349" xr:uid="{00000000-0005-0000-0000-00009A010000}"/>
    <cellStyle name="Percent 3" xfId="350" xr:uid="{00000000-0005-0000-0000-00009B010000}"/>
    <cellStyle name="Percent 3 2" xfId="351" xr:uid="{00000000-0005-0000-0000-00009C010000}"/>
    <cellStyle name="Percent 3 3" xfId="352" xr:uid="{00000000-0005-0000-0000-00009D010000}"/>
    <cellStyle name="Percent 3 4" xfId="353" xr:uid="{00000000-0005-0000-0000-00009E010000}"/>
    <cellStyle name="Percent 3 5" xfId="354" xr:uid="{00000000-0005-0000-0000-00009F010000}"/>
    <cellStyle name="Percent 3 6" xfId="355" xr:uid="{00000000-0005-0000-0000-0000A0010000}"/>
    <cellStyle name="Percent 3 7" xfId="356" xr:uid="{00000000-0005-0000-0000-0000A1010000}"/>
    <cellStyle name="Percent 4" xfId="357" xr:uid="{00000000-0005-0000-0000-0000A2010000}"/>
    <cellStyle name="Percent 4 2" xfId="358" xr:uid="{00000000-0005-0000-0000-0000A3010000}"/>
    <cellStyle name="Percent 4 3" xfId="359" xr:uid="{00000000-0005-0000-0000-0000A4010000}"/>
    <cellStyle name="Percent 4 4" xfId="360" xr:uid="{00000000-0005-0000-0000-0000A5010000}"/>
    <cellStyle name="Percent 4 5" xfId="361" xr:uid="{00000000-0005-0000-0000-0000A6010000}"/>
    <cellStyle name="Percent 4 6" xfId="362" xr:uid="{00000000-0005-0000-0000-0000A7010000}"/>
    <cellStyle name="Percent 4 7" xfId="363" xr:uid="{00000000-0005-0000-0000-0000A8010000}"/>
    <cellStyle name="Percent 5" xfId="364" xr:uid="{00000000-0005-0000-0000-0000A9010000}"/>
    <cellStyle name="Percent 6" xfId="365" xr:uid="{00000000-0005-0000-0000-0000AA010000}"/>
    <cellStyle name="Pourcentage 2" xfId="411" xr:uid="{00000000-0005-0000-0000-0000AB010000}"/>
    <cellStyle name="SAPBEXaggData" xfId="410" xr:uid="{00000000-0005-0000-0000-0000AC010000}"/>
    <cellStyle name="SAPBEXaggDataEmph" xfId="409" xr:uid="{00000000-0005-0000-0000-0000AD010000}"/>
    <cellStyle name="SAPBEXaggItem" xfId="408" xr:uid="{00000000-0005-0000-0000-0000AE010000}"/>
    <cellStyle name="SAPBEXaggItemX" xfId="407" xr:uid="{00000000-0005-0000-0000-0000AF010000}"/>
    <cellStyle name="SAPBEXchaText" xfId="406" xr:uid="{00000000-0005-0000-0000-0000B0010000}"/>
    <cellStyle name="SAPBEXexcBad7" xfId="405" xr:uid="{00000000-0005-0000-0000-0000B1010000}"/>
    <cellStyle name="SAPBEXexcBad8" xfId="404" xr:uid="{00000000-0005-0000-0000-0000B2010000}"/>
    <cellStyle name="SAPBEXexcBad9" xfId="403" xr:uid="{00000000-0005-0000-0000-0000B3010000}"/>
    <cellStyle name="SAPBEXexcCritical4" xfId="402" xr:uid="{00000000-0005-0000-0000-0000B4010000}"/>
    <cellStyle name="SAPBEXexcCritical5" xfId="401" xr:uid="{00000000-0005-0000-0000-0000B5010000}"/>
    <cellStyle name="SAPBEXexcCritical6" xfId="400" xr:uid="{00000000-0005-0000-0000-0000B6010000}"/>
    <cellStyle name="SAPBEXexcGood1" xfId="399" xr:uid="{00000000-0005-0000-0000-0000B7010000}"/>
    <cellStyle name="SAPBEXexcGood2" xfId="398" xr:uid="{00000000-0005-0000-0000-0000B8010000}"/>
    <cellStyle name="SAPBEXexcGood3" xfId="397" xr:uid="{00000000-0005-0000-0000-0000B9010000}"/>
    <cellStyle name="SAPBEXfilterDrill" xfId="396" xr:uid="{00000000-0005-0000-0000-0000BA010000}"/>
    <cellStyle name="SAPBEXfilterItem" xfId="395" xr:uid="{00000000-0005-0000-0000-0000BB010000}"/>
    <cellStyle name="SAPBEXfilterText" xfId="394" xr:uid="{00000000-0005-0000-0000-0000BC010000}"/>
    <cellStyle name="SAPBEXformats" xfId="393" xr:uid="{00000000-0005-0000-0000-0000BD010000}"/>
    <cellStyle name="SAPBEXheaderItem" xfId="392" xr:uid="{00000000-0005-0000-0000-0000BE010000}"/>
    <cellStyle name="SAPBEXheaderText" xfId="391" xr:uid="{00000000-0005-0000-0000-0000BF010000}"/>
    <cellStyle name="SAPBEXHLevel0" xfId="390" xr:uid="{00000000-0005-0000-0000-0000C0010000}"/>
    <cellStyle name="SAPBEXHLevel0X" xfId="389" xr:uid="{00000000-0005-0000-0000-0000C1010000}"/>
    <cellStyle name="SAPBEXHLevel1" xfId="388" xr:uid="{00000000-0005-0000-0000-0000C2010000}"/>
    <cellStyle name="SAPBEXHLevel1X" xfId="387" xr:uid="{00000000-0005-0000-0000-0000C3010000}"/>
    <cellStyle name="SAPBEXHLevel2" xfId="386" xr:uid="{00000000-0005-0000-0000-0000C4010000}"/>
    <cellStyle name="SAPBEXHLevel2X" xfId="385" xr:uid="{00000000-0005-0000-0000-0000C5010000}"/>
    <cellStyle name="SAPBEXHLevel3" xfId="384" xr:uid="{00000000-0005-0000-0000-0000C6010000}"/>
    <cellStyle name="SAPBEXHLevel3X" xfId="383" xr:uid="{00000000-0005-0000-0000-0000C7010000}"/>
    <cellStyle name="SAPBEXinputData" xfId="382" xr:uid="{00000000-0005-0000-0000-0000C8010000}"/>
    <cellStyle name="SAPBEXItemHeader" xfId="381" xr:uid="{00000000-0005-0000-0000-0000C9010000}"/>
    <cellStyle name="SAPBEXresData" xfId="380" xr:uid="{00000000-0005-0000-0000-0000CA010000}"/>
    <cellStyle name="SAPBEXresDataEmph" xfId="379" xr:uid="{00000000-0005-0000-0000-0000CB010000}"/>
    <cellStyle name="SAPBEXresItem" xfId="378" xr:uid="{00000000-0005-0000-0000-0000CC010000}"/>
    <cellStyle name="SAPBEXresItemX" xfId="377" xr:uid="{00000000-0005-0000-0000-0000CD010000}"/>
    <cellStyle name="SAPBEXstdData" xfId="376" xr:uid="{00000000-0005-0000-0000-0000CE010000}"/>
    <cellStyle name="SAPBEXstdDataEmph" xfId="375" xr:uid="{00000000-0005-0000-0000-0000CF010000}"/>
    <cellStyle name="SAPBEXstdItem" xfId="374" xr:uid="{00000000-0005-0000-0000-0000D0010000}"/>
    <cellStyle name="SAPBEXstdItemX" xfId="373" xr:uid="{00000000-0005-0000-0000-0000D1010000}"/>
    <cellStyle name="SAPBEXtitle" xfId="372" xr:uid="{00000000-0005-0000-0000-0000D2010000}"/>
    <cellStyle name="SAPBEXunassignedItem" xfId="371" xr:uid="{00000000-0005-0000-0000-0000D3010000}"/>
    <cellStyle name="SAPBEXundefined" xfId="370" xr:uid="{00000000-0005-0000-0000-0000D4010000}"/>
    <cellStyle name="Sheet Title" xfId="369" xr:uid="{00000000-0005-0000-0000-0000D5010000}"/>
    <cellStyle name="Source Text" xfId="368" xr:uid="{00000000-0005-0000-0000-0000D6010000}"/>
    <cellStyle name="Title" xfId="6" builtinId="15" customBuiltin="1"/>
    <cellStyle name="Title 2" xfId="367" xr:uid="{00000000-0005-0000-0000-0000D8010000}"/>
    <cellStyle name="Total" xfId="22" builtinId="25" customBuiltin="1"/>
    <cellStyle name="Warning Text" xfId="19" builtinId="11" customBuiltin="1"/>
    <cellStyle name="Y.check" xfId="366" xr:uid="{00000000-0005-0000-0000-0000DB010000}"/>
  </cellStyles>
  <dxfs count="23">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numFmt numFmtId="169" formatCode="&quot;$&quot;#,##0"/>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strike val="0"/>
        <outline val="0"/>
        <shadow val="0"/>
        <u val="none"/>
        <vertAlign val="baseline"/>
        <color auto="1"/>
        <name val="Calibri"/>
        <family val="2"/>
      </font>
    </dxf>
    <dxf>
      <font>
        <strike val="0"/>
        <outline val="0"/>
        <shadow val="0"/>
        <u val="none"/>
        <vertAlign val="baseline"/>
        <color auto="1"/>
        <name val="Calibri"/>
        <family val="2"/>
      </font>
    </dxf>
    <dxf>
      <font>
        <strike val="0"/>
        <outline val="0"/>
        <shadow val="0"/>
        <u val="none"/>
        <vertAlign val="baseline"/>
        <color auto="1"/>
        <name val="Calibri"/>
        <family val="2"/>
      </font>
      <alignment horizontal="center" vertical="center" textRotation="0" wrapText="1" indent="0" justifyLastLine="0" shrinkToFit="0" readingOrder="0"/>
    </dxf>
  </dxfs>
  <tableStyles count="0" defaultTableStyle="TableStyleMedium2" defaultPivotStyle="PivotStyleLight16"/>
  <colors>
    <mruColors>
      <color rgb="FFFFFF8B"/>
      <color rgb="FFCDE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microsoft.com/office/2017/10/relationships/person" Target="persons/person.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11</xdr:row>
      <xdr:rowOff>28575</xdr:rowOff>
    </xdr:from>
    <xdr:to>
      <xdr:col>15</xdr:col>
      <xdr:colOff>467556</xdr:colOff>
      <xdr:row>32</xdr:row>
      <xdr:rowOff>41869</xdr:rowOff>
    </xdr:to>
    <xdr:pic>
      <xdr:nvPicPr>
        <xdr:cNvPr id="2" name="Picture 1">
          <a:extLst>
            <a:ext uri="{FF2B5EF4-FFF2-40B4-BE49-F238E27FC236}">
              <a16:creationId xmlns:a16="http://schemas.microsoft.com/office/drawing/2014/main" id="{789EC171-C298-42BB-A8B4-A6F0950BB16F}"/>
            </a:ext>
          </a:extLst>
        </xdr:cNvPr>
        <xdr:cNvPicPr>
          <a:picLocks noChangeAspect="1"/>
        </xdr:cNvPicPr>
      </xdr:nvPicPr>
      <xdr:blipFill>
        <a:blip xmlns:r="http://schemas.openxmlformats.org/officeDocument/2006/relationships" r:embed="rId1"/>
        <a:stretch>
          <a:fillRect/>
        </a:stretch>
      </xdr:blipFill>
      <xdr:spPr>
        <a:xfrm>
          <a:off x="6181725" y="2505075"/>
          <a:ext cx="5953956" cy="42582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95250</xdr:colOff>
      <xdr:row>6</xdr:row>
      <xdr:rowOff>95250</xdr:rowOff>
    </xdr:from>
    <xdr:to>
      <xdr:col>23</xdr:col>
      <xdr:colOff>486765</xdr:colOff>
      <xdr:row>45</xdr:row>
      <xdr:rowOff>115394</xdr:rowOff>
    </xdr:to>
    <xdr:pic>
      <xdr:nvPicPr>
        <xdr:cNvPr id="3" name="Picture 2">
          <a:extLst>
            <a:ext uri="{FF2B5EF4-FFF2-40B4-BE49-F238E27FC236}">
              <a16:creationId xmlns:a16="http://schemas.microsoft.com/office/drawing/2014/main" id="{E6429BC7-2DCF-4CE5-BA11-765B40D2CE9E}"/>
            </a:ext>
          </a:extLst>
        </xdr:cNvPr>
        <xdr:cNvPicPr>
          <a:picLocks noChangeAspect="1"/>
        </xdr:cNvPicPr>
      </xdr:nvPicPr>
      <xdr:blipFill>
        <a:blip xmlns:r="http://schemas.openxmlformats.org/officeDocument/2006/relationships" r:embed="rId1"/>
        <a:stretch>
          <a:fillRect/>
        </a:stretch>
      </xdr:blipFill>
      <xdr:spPr>
        <a:xfrm>
          <a:off x="9915525" y="1238250"/>
          <a:ext cx="7097115" cy="78401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752475</xdr:colOff>
      <xdr:row>11</xdr:row>
      <xdr:rowOff>85679</xdr:rowOff>
    </xdr:from>
    <xdr:to>
      <xdr:col>14</xdr:col>
      <xdr:colOff>285402</xdr:colOff>
      <xdr:row>17</xdr:row>
      <xdr:rowOff>174</xdr:rowOff>
    </xdr:to>
    <xdr:pic>
      <xdr:nvPicPr>
        <xdr:cNvPr id="2" name="Picture 1">
          <a:extLst>
            <a:ext uri="{FF2B5EF4-FFF2-40B4-BE49-F238E27FC236}">
              <a16:creationId xmlns:a16="http://schemas.microsoft.com/office/drawing/2014/main" id="{0AA66428-DBFB-43A3-A187-B1E1EC061E9D}"/>
            </a:ext>
          </a:extLst>
        </xdr:cNvPr>
        <xdr:cNvPicPr>
          <a:picLocks noChangeAspect="1"/>
        </xdr:cNvPicPr>
      </xdr:nvPicPr>
      <xdr:blipFill>
        <a:blip xmlns:r="http://schemas.openxmlformats.org/officeDocument/2006/relationships" r:embed="rId1"/>
        <a:stretch>
          <a:fillRect/>
        </a:stretch>
      </xdr:blipFill>
      <xdr:spPr>
        <a:xfrm>
          <a:off x="5619750" y="2190704"/>
          <a:ext cx="4628802" cy="1124170"/>
        </a:xfrm>
        <a:prstGeom prst="rect">
          <a:avLst/>
        </a:prstGeom>
      </xdr:spPr>
    </xdr:pic>
    <xdr:clientData/>
  </xdr:twoCellAnchor>
  <xdr:twoCellAnchor editAs="oneCell">
    <xdr:from>
      <xdr:col>7</xdr:col>
      <xdr:colOff>226218</xdr:colOff>
      <xdr:row>24</xdr:row>
      <xdr:rowOff>59531</xdr:rowOff>
    </xdr:from>
    <xdr:to>
      <xdr:col>15</xdr:col>
      <xdr:colOff>141166</xdr:colOff>
      <xdr:row>47</xdr:row>
      <xdr:rowOff>41078</xdr:rowOff>
    </xdr:to>
    <xdr:pic>
      <xdr:nvPicPr>
        <xdr:cNvPr id="3" name="Picture 2">
          <a:extLst>
            <a:ext uri="{FF2B5EF4-FFF2-40B4-BE49-F238E27FC236}">
              <a16:creationId xmlns:a16="http://schemas.microsoft.com/office/drawing/2014/main" id="{8DA588AB-D7E0-4B50-8D79-5C32427024A5}"/>
            </a:ext>
          </a:extLst>
        </xdr:cNvPr>
        <xdr:cNvPicPr>
          <a:picLocks noChangeAspect="1"/>
        </xdr:cNvPicPr>
      </xdr:nvPicPr>
      <xdr:blipFill>
        <a:blip xmlns:r="http://schemas.openxmlformats.org/officeDocument/2006/relationships" r:embed="rId2"/>
        <a:stretch>
          <a:fillRect/>
        </a:stretch>
      </xdr:blipFill>
      <xdr:spPr>
        <a:xfrm>
          <a:off x="6465093" y="4431506"/>
          <a:ext cx="4794923" cy="4363047"/>
        </a:xfrm>
        <a:prstGeom prst="rect">
          <a:avLst/>
        </a:prstGeom>
      </xdr:spPr>
    </xdr:pic>
    <xdr:clientData/>
  </xdr:twoCellAnchor>
  <xdr:twoCellAnchor editAs="oneCell">
    <xdr:from>
      <xdr:col>14</xdr:col>
      <xdr:colOff>382323</xdr:colOff>
      <xdr:row>28</xdr:row>
      <xdr:rowOff>146844</xdr:rowOff>
    </xdr:from>
    <xdr:to>
      <xdr:col>28</xdr:col>
      <xdr:colOff>316838</xdr:colOff>
      <xdr:row>47</xdr:row>
      <xdr:rowOff>172743</xdr:rowOff>
    </xdr:to>
    <xdr:pic>
      <xdr:nvPicPr>
        <xdr:cNvPr id="4" name="Picture 3">
          <a:extLst>
            <a:ext uri="{FF2B5EF4-FFF2-40B4-BE49-F238E27FC236}">
              <a16:creationId xmlns:a16="http://schemas.microsoft.com/office/drawing/2014/main" id="{9BF3F487-F575-45B5-9A90-CD697E25E493}"/>
            </a:ext>
          </a:extLst>
        </xdr:cNvPr>
        <xdr:cNvPicPr>
          <a:picLocks noChangeAspect="1"/>
        </xdr:cNvPicPr>
      </xdr:nvPicPr>
      <xdr:blipFill>
        <a:blip xmlns:r="http://schemas.openxmlformats.org/officeDocument/2006/relationships" r:embed="rId3"/>
        <a:stretch>
          <a:fillRect/>
        </a:stretch>
      </xdr:blipFill>
      <xdr:spPr>
        <a:xfrm>
          <a:off x="11326548" y="5166519"/>
          <a:ext cx="8472090" cy="36453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9525</xdr:colOff>
      <xdr:row>2</xdr:row>
      <xdr:rowOff>38100</xdr:rowOff>
    </xdr:from>
    <xdr:to>
      <xdr:col>21</xdr:col>
      <xdr:colOff>152878</xdr:colOff>
      <xdr:row>26</xdr:row>
      <xdr:rowOff>6984</xdr:rowOff>
    </xdr:to>
    <xdr:pic>
      <xdr:nvPicPr>
        <xdr:cNvPr id="4" name="Picture 3">
          <a:extLst>
            <a:ext uri="{FF2B5EF4-FFF2-40B4-BE49-F238E27FC236}">
              <a16:creationId xmlns:a16="http://schemas.microsoft.com/office/drawing/2014/main" id="{BB96A85A-CE53-4A8A-8BE6-54BA6F6B179A}"/>
            </a:ext>
          </a:extLst>
        </xdr:cNvPr>
        <xdr:cNvPicPr>
          <a:picLocks noChangeAspect="1"/>
        </xdr:cNvPicPr>
      </xdr:nvPicPr>
      <xdr:blipFill>
        <a:blip xmlns:r="http://schemas.openxmlformats.org/officeDocument/2006/relationships" r:embed="rId1"/>
        <a:stretch>
          <a:fillRect/>
        </a:stretch>
      </xdr:blipFill>
      <xdr:spPr>
        <a:xfrm>
          <a:off x="5095875" y="419100"/>
          <a:ext cx="6648928" cy="4540884"/>
        </a:xfrm>
        <a:prstGeom prst="rect">
          <a:avLst/>
        </a:prstGeom>
      </xdr:spPr>
    </xdr:pic>
    <xdr:clientData/>
  </xdr:twoCellAnchor>
  <xdr:twoCellAnchor editAs="oneCell">
    <xdr:from>
      <xdr:col>12</xdr:col>
      <xdr:colOff>9525</xdr:colOff>
      <xdr:row>27</xdr:row>
      <xdr:rowOff>38100</xdr:rowOff>
    </xdr:from>
    <xdr:to>
      <xdr:col>18</xdr:col>
      <xdr:colOff>144910</xdr:colOff>
      <xdr:row>49</xdr:row>
      <xdr:rowOff>140300</xdr:rowOff>
    </xdr:to>
    <xdr:pic>
      <xdr:nvPicPr>
        <xdr:cNvPr id="5" name="Picture 4">
          <a:extLst>
            <a:ext uri="{FF2B5EF4-FFF2-40B4-BE49-F238E27FC236}">
              <a16:creationId xmlns:a16="http://schemas.microsoft.com/office/drawing/2014/main" id="{9EE6C546-1748-4EE8-A472-BD93B4283A91}"/>
            </a:ext>
          </a:extLst>
        </xdr:cNvPr>
        <xdr:cNvPicPr>
          <a:picLocks noChangeAspect="1"/>
        </xdr:cNvPicPr>
      </xdr:nvPicPr>
      <xdr:blipFill>
        <a:blip xmlns:r="http://schemas.openxmlformats.org/officeDocument/2006/relationships" r:embed="rId2"/>
        <a:stretch>
          <a:fillRect/>
        </a:stretch>
      </xdr:blipFill>
      <xdr:spPr>
        <a:xfrm>
          <a:off x="5095875" y="5181600"/>
          <a:ext cx="4812160" cy="4293200"/>
        </a:xfrm>
        <a:prstGeom prst="rect">
          <a:avLst/>
        </a:prstGeom>
      </xdr:spPr>
    </xdr:pic>
    <xdr:clientData/>
  </xdr:twoCellAnchor>
  <xdr:twoCellAnchor editAs="oneCell">
    <xdr:from>
      <xdr:col>12</xdr:col>
      <xdr:colOff>9525</xdr:colOff>
      <xdr:row>51</xdr:row>
      <xdr:rowOff>38100</xdr:rowOff>
    </xdr:from>
    <xdr:to>
      <xdr:col>18</xdr:col>
      <xdr:colOff>608525</xdr:colOff>
      <xdr:row>69</xdr:row>
      <xdr:rowOff>114789</xdr:rowOff>
    </xdr:to>
    <xdr:pic>
      <xdr:nvPicPr>
        <xdr:cNvPr id="6" name="Picture 5">
          <a:extLst>
            <a:ext uri="{FF2B5EF4-FFF2-40B4-BE49-F238E27FC236}">
              <a16:creationId xmlns:a16="http://schemas.microsoft.com/office/drawing/2014/main" id="{E5F3A8EB-8AE2-4964-B9FE-E8D3C883ED33}"/>
            </a:ext>
          </a:extLst>
        </xdr:cNvPr>
        <xdr:cNvPicPr>
          <a:picLocks noChangeAspect="1"/>
        </xdr:cNvPicPr>
      </xdr:nvPicPr>
      <xdr:blipFill>
        <a:blip xmlns:r="http://schemas.openxmlformats.org/officeDocument/2006/relationships" r:embed="rId3"/>
        <a:stretch>
          <a:fillRect/>
        </a:stretch>
      </xdr:blipFill>
      <xdr:spPr>
        <a:xfrm>
          <a:off x="5095875" y="9753600"/>
          <a:ext cx="5275775" cy="3505689"/>
        </a:xfrm>
        <a:prstGeom prst="rect">
          <a:avLst/>
        </a:prstGeom>
      </xdr:spPr>
    </xdr:pic>
    <xdr:clientData/>
  </xdr:twoCellAnchor>
  <xdr:twoCellAnchor editAs="oneCell">
    <xdr:from>
      <xdr:col>12</xdr:col>
      <xdr:colOff>9525</xdr:colOff>
      <xdr:row>70</xdr:row>
      <xdr:rowOff>38100</xdr:rowOff>
    </xdr:from>
    <xdr:to>
      <xdr:col>17</xdr:col>
      <xdr:colOff>7374</xdr:colOff>
      <xdr:row>90</xdr:row>
      <xdr:rowOff>140246</xdr:rowOff>
    </xdr:to>
    <xdr:pic>
      <xdr:nvPicPr>
        <xdr:cNvPr id="9" name="Picture 8">
          <a:extLst>
            <a:ext uri="{FF2B5EF4-FFF2-40B4-BE49-F238E27FC236}">
              <a16:creationId xmlns:a16="http://schemas.microsoft.com/office/drawing/2014/main" id="{C6E1D68B-BBFB-4EBB-BF8F-A47F518FF833}"/>
            </a:ext>
          </a:extLst>
        </xdr:cNvPr>
        <xdr:cNvPicPr>
          <a:picLocks noChangeAspect="1"/>
        </xdr:cNvPicPr>
      </xdr:nvPicPr>
      <xdr:blipFill>
        <a:blip xmlns:r="http://schemas.openxmlformats.org/officeDocument/2006/relationships" r:embed="rId4"/>
        <a:stretch>
          <a:fillRect/>
        </a:stretch>
      </xdr:blipFill>
      <xdr:spPr>
        <a:xfrm>
          <a:off x="5095875" y="13373100"/>
          <a:ext cx="4065023" cy="3912146"/>
        </a:xfrm>
        <a:prstGeom prst="rect">
          <a:avLst/>
        </a:prstGeom>
      </xdr:spPr>
    </xdr:pic>
    <xdr:clientData/>
  </xdr:twoCellAnchor>
  <xdr:twoCellAnchor editAs="oneCell">
    <xdr:from>
      <xdr:col>1</xdr:col>
      <xdr:colOff>265797</xdr:colOff>
      <xdr:row>54</xdr:row>
      <xdr:rowOff>916</xdr:rowOff>
    </xdr:from>
    <xdr:to>
      <xdr:col>7</xdr:col>
      <xdr:colOff>316841</xdr:colOff>
      <xdr:row>77</xdr:row>
      <xdr:rowOff>97022</xdr:rowOff>
    </xdr:to>
    <xdr:pic>
      <xdr:nvPicPr>
        <xdr:cNvPr id="8" name="Picture 1">
          <a:extLst>
            <a:ext uri="{FF2B5EF4-FFF2-40B4-BE49-F238E27FC236}">
              <a16:creationId xmlns:a16="http://schemas.microsoft.com/office/drawing/2014/main" id="{7E5A481C-77BB-4C1B-A55E-F39512D23464}"/>
            </a:ext>
          </a:extLst>
        </xdr:cNvPr>
        <xdr:cNvPicPr>
          <a:picLocks noChangeAspect="1"/>
        </xdr:cNvPicPr>
      </xdr:nvPicPr>
      <xdr:blipFill>
        <a:blip xmlns:r="http://schemas.openxmlformats.org/officeDocument/2006/relationships" r:embed="rId5"/>
        <a:stretch>
          <a:fillRect/>
        </a:stretch>
      </xdr:blipFill>
      <xdr:spPr>
        <a:xfrm>
          <a:off x="1475058" y="10213373"/>
          <a:ext cx="6407394" cy="44807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590550</xdr:colOff>
      <xdr:row>3</xdr:row>
      <xdr:rowOff>0</xdr:rowOff>
    </xdr:from>
    <xdr:to>
      <xdr:col>22</xdr:col>
      <xdr:colOff>262890</xdr:colOff>
      <xdr:row>31</xdr:row>
      <xdr:rowOff>174486</xdr:rowOff>
    </xdr:to>
    <xdr:pic>
      <xdr:nvPicPr>
        <xdr:cNvPr id="2" name="Picture 1">
          <a:extLst>
            <a:ext uri="{FF2B5EF4-FFF2-40B4-BE49-F238E27FC236}">
              <a16:creationId xmlns:a16="http://schemas.microsoft.com/office/drawing/2014/main" id="{5FA94F39-BE62-4423-B7CD-1887A3089E06}"/>
            </a:ext>
          </a:extLst>
        </xdr:cNvPr>
        <xdr:cNvPicPr>
          <a:picLocks noChangeAspect="1"/>
        </xdr:cNvPicPr>
      </xdr:nvPicPr>
      <xdr:blipFill>
        <a:blip xmlns:r="http://schemas.openxmlformats.org/officeDocument/2006/relationships" r:embed="rId1"/>
        <a:stretch>
          <a:fillRect/>
        </a:stretch>
      </xdr:blipFill>
      <xdr:spPr>
        <a:xfrm>
          <a:off x="4857750" y="571500"/>
          <a:ext cx="8816340" cy="55084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rlington\arlington\Documents%20and%20Settings\b145489\Local%20Settings\Temporary%20Internet%20Files\OLKB2\Purchase%20Accounting%20Run%20Off%2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rlington\arlington\WINNT\Loco%20Depr%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rlington\arlington\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rlington\arlington\MN\MN%20-%20BNSF%20TIGER%202014\400-Technical\402%20BCA\New%20Analysis%20Network%20Grade%20Crossings\MGCAM12032009%20-%20Test42614_Staples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rlington\arlington\Users\SanthanamS\Documents\Projects\ECON_ARL\US76-MS-INFRA\template\WisDOT_MARS_CRIS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NCDOT%20INFRA%202019\O&amp;M\I-95%20Maintenance%20Cost%20I-95%20Exit%2013%20to%20Exit%2019%20existing%20(0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rlington\arlington\CONTROLLER\Property%20Accounting\Reporting%20&amp;%20Analysis\Annual%20Reports\2006\R-1\330\Diverted%20W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ecom.sharepoint.com/Users/smelvin/Desktop/smelvin/Documents/Documents/Projects/Bidding%20Files/#Division 4B Bidding Files/950014/balance_she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01-Projects\91821%20NCDOT%20SPOT%206%20Initiation\NCDOT%20Deliverables\Intersection%20Analysis%20Utility%20(IAU)\IAU_2018_Gen3.3%20-%2011-2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 val="A-1_Portfolio_Selling_Costs"/>
      <sheetName val="A-2_Asset_Disposition_-_Road"/>
      <sheetName val="A-2A_Equipment_Disposition"/>
      <sheetName val="A-2B_Asset_Disposition_-_Equip"/>
      <sheetName val="A-2B_Equipment_Disposition"/>
      <sheetName val="A-2C_Amory_South"/>
      <sheetName val="A-3_Star_Lake_Railroad"/>
      <sheetName val="A-4_At&amp;T_Easement_Refund"/>
      <sheetName val="A-5_Loco_Overhal_Accrual"/>
      <sheetName val="A-5a_Overhaul_Accrl"/>
      <sheetName val="A-6_CBM"/>
      <sheetName val="A-6a_CBM_Accounting_Issues"/>
      <sheetName val="A-7_Depreciation_Expense"/>
      <sheetName val="A-7a_2003_Depreciation"/>
      <sheetName val="A-8_Depr_Rate_Study"/>
      <sheetName val="A-7c_Road_Retirements"/>
      <sheetName val="A-7d_Equip_Retirements"/>
      <sheetName val="A-9_ARO"/>
      <sheetName val="A-10_Easement_Sales"/>
      <sheetName val="A-11_Balance_Sheet_Recons"/>
      <sheetName val="A-11a_Balance_Sheet_Re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1">
          <cell r="B11">
            <v>2016</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 val="Change_Tracking"/>
      <sheetName val="Rate_file"/>
      <sheetName val="Sep_06_Data"/>
      <sheetName val="Oct_06_Data"/>
      <sheetName val="Nov_06_Data"/>
      <sheetName val="Dec_06_Data"/>
      <sheetName val="Sep_06_Calc"/>
      <sheetName val="Oct_06_Calc"/>
      <sheetName val="Nov_06_Calc"/>
      <sheetName val="Dec_06_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
          <cell r="A6" t="str">
            <v>2.1.98.0</v>
          </cell>
        </row>
      </sheetData>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atrix"/>
      <sheetName val="CapitalCosts"/>
      <sheetName val="O&amp;MCosts"/>
      <sheetName val="Inputs"/>
      <sheetName val="Reduced VMT"/>
      <sheetName val="TravelTimeSavings"/>
      <sheetName val="Residual"/>
      <sheetName val="CongestionSavings"/>
      <sheetName val="FreightBenefits"/>
      <sheetName val="RoadwayMaintenanceSavings"/>
      <sheetName val="TravelCostSavings"/>
      <sheetName val="Safety"/>
      <sheetName val="ReducedEmissions"/>
      <sheetName val="Deflator"/>
      <sheetName val="NetworkTimeSavings"/>
      <sheetName val="HiawathaRidership"/>
      <sheetName val="Delay Codes"/>
      <sheetName val="EmpireBuilderRidership"/>
      <sheetName val="Emissions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Inputs"/>
      <sheetName val="Maintenance Calculations"/>
      <sheetName val="Roadway Maintenance (M)"/>
      <sheetName val="Renewal &amp; Replacement (R&amp;R)"/>
      <sheetName val="Summary "/>
      <sheetName val="bridge"/>
      <sheetName val="Ramp"/>
    </sheetNames>
    <sheetDataSet>
      <sheetData sheetId="0" refreshError="1"/>
      <sheetData sheetId="1">
        <row r="5">
          <cell r="C5">
            <v>2019</v>
          </cell>
        </row>
        <row r="6">
          <cell r="C6">
            <v>2020</v>
          </cell>
        </row>
        <row r="32">
          <cell r="B32">
            <v>2018</v>
          </cell>
          <cell r="C32">
            <v>0</v>
          </cell>
        </row>
        <row r="33">
          <cell r="B33">
            <v>2019</v>
          </cell>
          <cell r="C33">
            <v>0</v>
          </cell>
        </row>
        <row r="34">
          <cell r="B34">
            <v>2020</v>
          </cell>
          <cell r="C34">
            <v>0</v>
          </cell>
        </row>
        <row r="35">
          <cell r="B35">
            <v>2021</v>
          </cell>
          <cell r="C35">
            <v>0</v>
          </cell>
        </row>
        <row r="36">
          <cell r="B36">
            <v>2022</v>
          </cell>
          <cell r="C36">
            <v>0</v>
          </cell>
        </row>
        <row r="37">
          <cell r="B37">
            <v>2023</v>
          </cell>
          <cell r="C37">
            <v>0</v>
          </cell>
        </row>
        <row r="38">
          <cell r="B38">
            <v>2024</v>
          </cell>
          <cell r="C38">
            <v>0</v>
          </cell>
        </row>
        <row r="39">
          <cell r="B39">
            <v>2025</v>
          </cell>
          <cell r="C39">
            <v>0</v>
          </cell>
        </row>
        <row r="40">
          <cell r="B40">
            <v>2026</v>
          </cell>
          <cell r="C40">
            <v>0</v>
          </cell>
        </row>
        <row r="41">
          <cell r="B41">
            <v>2027</v>
          </cell>
          <cell r="C41">
            <v>0</v>
          </cell>
        </row>
        <row r="42">
          <cell r="B42">
            <v>2028</v>
          </cell>
          <cell r="C42">
            <v>0</v>
          </cell>
        </row>
        <row r="43">
          <cell r="B43">
            <v>2029</v>
          </cell>
          <cell r="C43">
            <v>0</v>
          </cell>
        </row>
        <row r="44">
          <cell r="B44">
            <v>2030</v>
          </cell>
          <cell r="C44">
            <v>0</v>
          </cell>
        </row>
        <row r="45">
          <cell r="B45">
            <v>2031</v>
          </cell>
          <cell r="C45">
            <v>0</v>
          </cell>
        </row>
        <row r="46">
          <cell r="B46">
            <v>2032</v>
          </cell>
          <cell r="C46">
            <v>0</v>
          </cell>
        </row>
        <row r="47">
          <cell r="B47">
            <v>2033</v>
          </cell>
          <cell r="C47">
            <v>0</v>
          </cell>
        </row>
        <row r="48">
          <cell r="B48">
            <v>2034</v>
          </cell>
          <cell r="C48">
            <v>0</v>
          </cell>
        </row>
        <row r="49">
          <cell r="B49">
            <v>2035</v>
          </cell>
          <cell r="C49">
            <v>0</v>
          </cell>
        </row>
        <row r="50">
          <cell r="B50">
            <v>2036</v>
          </cell>
          <cell r="C50">
            <v>0</v>
          </cell>
        </row>
        <row r="51">
          <cell r="B51">
            <v>2037</v>
          </cell>
          <cell r="C51">
            <v>0</v>
          </cell>
        </row>
        <row r="52">
          <cell r="B52">
            <v>2038</v>
          </cell>
          <cell r="C52">
            <v>0</v>
          </cell>
        </row>
        <row r="53">
          <cell r="B53">
            <v>2039</v>
          </cell>
          <cell r="C53">
            <v>0</v>
          </cell>
        </row>
        <row r="54">
          <cell r="B54">
            <v>2040</v>
          </cell>
          <cell r="C54">
            <v>0</v>
          </cell>
        </row>
        <row r="55">
          <cell r="B55">
            <v>2041</v>
          </cell>
          <cell r="C55">
            <v>0</v>
          </cell>
        </row>
        <row r="56">
          <cell r="B56">
            <v>2042</v>
          </cell>
          <cell r="C56">
            <v>0</v>
          </cell>
        </row>
        <row r="57">
          <cell r="B57">
            <v>2043</v>
          </cell>
          <cell r="C57">
            <v>0</v>
          </cell>
        </row>
        <row r="58">
          <cell r="B58">
            <v>2044</v>
          </cell>
          <cell r="C58">
            <v>0</v>
          </cell>
        </row>
        <row r="59">
          <cell r="B59">
            <v>2045</v>
          </cell>
          <cell r="C59">
            <v>0</v>
          </cell>
        </row>
        <row r="60">
          <cell r="B60">
            <v>2046</v>
          </cell>
          <cell r="C60">
            <v>0</v>
          </cell>
        </row>
        <row r="61">
          <cell r="B61">
            <v>2047</v>
          </cell>
          <cell r="C61">
            <v>0</v>
          </cell>
        </row>
        <row r="62">
          <cell r="B62">
            <v>2048</v>
          </cell>
          <cell r="C62">
            <v>0</v>
          </cell>
        </row>
        <row r="63">
          <cell r="B63">
            <v>2049</v>
          </cell>
          <cell r="C63">
            <v>0</v>
          </cell>
        </row>
        <row r="64">
          <cell r="B64">
            <v>2050</v>
          </cell>
          <cell r="C64">
            <v>0</v>
          </cell>
        </row>
        <row r="65">
          <cell r="B65">
            <v>2051</v>
          </cell>
          <cell r="C65">
            <v>0</v>
          </cell>
        </row>
        <row r="66">
          <cell r="B66">
            <v>2052</v>
          </cell>
          <cell r="C66">
            <v>0</v>
          </cell>
        </row>
        <row r="67">
          <cell r="B67">
            <v>2053</v>
          </cell>
          <cell r="C67">
            <v>0</v>
          </cell>
        </row>
        <row r="68">
          <cell r="B68">
            <v>2054</v>
          </cell>
          <cell r="C68">
            <v>0</v>
          </cell>
        </row>
        <row r="69">
          <cell r="B69">
            <v>2055</v>
          </cell>
          <cell r="C69">
            <v>0</v>
          </cell>
        </row>
        <row r="70">
          <cell r="B70">
            <v>2056</v>
          </cell>
          <cell r="C70">
            <v>0</v>
          </cell>
        </row>
        <row r="71">
          <cell r="B71">
            <v>2057</v>
          </cell>
          <cell r="C71">
            <v>0</v>
          </cell>
        </row>
        <row r="72">
          <cell r="B72">
            <v>2058</v>
          </cell>
          <cell r="C72">
            <v>0</v>
          </cell>
        </row>
        <row r="73">
          <cell r="B73">
            <v>2059</v>
          </cell>
          <cell r="C73">
            <v>0</v>
          </cell>
        </row>
        <row r="74">
          <cell r="B74">
            <v>2060</v>
          </cell>
          <cell r="C74">
            <v>0</v>
          </cell>
        </row>
        <row r="75">
          <cell r="B75">
            <v>2061</v>
          </cell>
          <cell r="C75">
            <v>0</v>
          </cell>
        </row>
        <row r="76">
          <cell r="B76">
            <v>2062</v>
          </cell>
          <cell r="C76">
            <v>0</v>
          </cell>
        </row>
        <row r="77">
          <cell r="B77">
            <v>2063</v>
          </cell>
          <cell r="C77">
            <v>0</v>
          </cell>
        </row>
        <row r="78">
          <cell r="B78">
            <v>2064</v>
          </cell>
          <cell r="C78">
            <v>0</v>
          </cell>
        </row>
        <row r="79">
          <cell r="B79">
            <v>2065</v>
          </cell>
          <cell r="C79">
            <v>0</v>
          </cell>
        </row>
        <row r="80">
          <cell r="B80">
            <v>2066</v>
          </cell>
          <cell r="C80">
            <v>0</v>
          </cell>
        </row>
        <row r="81">
          <cell r="B81">
            <v>2067</v>
          </cell>
          <cell r="C81">
            <v>0</v>
          </cell>
        </row>
      </sheetData>
      <sheetData sheetId="2" refreshError="1"/>
      <sheetData sheetId="3">
        <row r="5">
          <cell r="C5">
            <v>2020</v>
          </cell>
        </row>
      </sheetData>
      <sheetData sheetId="4">
        <row r="11">
          <cell r="C11">
            <v>2020</v>
          </cell>
        </row>
      </sheetData>
      <sheetData sheetId="5"/>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C Conversion"/>
      <sheetName val="Historical"/>
      <sheetName val="Current"/>
      <sheetName val="Sheet3"/>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totals"/>
      <sheetName val="2 Subtotals"/>
      <sheetName val="County"/>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ant"/>
      <sheetName val="Directional"/>
      <sheetName val="5-leg"/>
      <sheetName val="Quadrant (Interpolation)"/>
      <sheetName val="Directional (Interpolation)"/>
      <sheetName val="Quadrant (AM_PM)"/>
      <sheetName val="Sheet1"/>
      <sheetName val="Directional (AM_PM)"/>
      <sheetName val="Quadrant (AM_PM)(Interpolation)"/>
      <sheetName val="Directional (AM_PM)(Interp)"/>
      <sheetName val="Quadrant (AM_PM) (2)"/>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Broyles, Thatcher" id="{531B8642-4006-4114-9CE8-789EED358D4B}" userId="S::Thatcher.Broyles@aecom.com::1e6a5c25-cd75-4453-a63b-07691833f0f9"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CCC1E26-0595-41CE-B56B-5EB01E7F4631}" name="Table1" displayName="Table1" ref="A2:J10" totalsRowCount="1" headerRowDxfId="22" dataDxfId="21" totalsRowDxfId="20">
  <tableColumns count="10">
    <tableColumn id="1" xr3:uid="{6B487860-CF8B-44B4-8383-42104E9938FE}" name="Section" dataDxfId="19" totalsRowDxfId="18"/>
    <tableColumn id="2" xr3:uid="{E1FAE394-CC62-41FB-AE62-7AF24E5D13B1}" name="Previously Incurred Costs" dataDxfId="17" totalsRowDxfId="16">
      <calculatedColumnFormula>#REF!</calculatedColumnFormula>
    </tableColumn>
    <tableColumn id="3" xr3:uid="{1EA0C97A-17B6-486B-B355-A50F17490918}" name="Preliminary Engineering" dataDxfId="15" totalsRowDxfId="14"/>
    <tableColumn id="4" xr3:uid="{14E7A4CE-D17F-487C-8690-3F9C5594BF55}" name="ROW" dataDxfId="13" totalsRowDxfId="12"/>
    <tableColumn id="5" xr3:uid="{5C17C126-4043-47CC-8F56-5B5744791EEB}" name="Utilities" dataDxfId="11" totalsRowDxfId="10"/>
    <tableColumn id="6" xr3:uid="{922B74CE-0332-4277-8A0B-2A283A4627AC}" name="Total Construction" dataDxfId="9" totalsRowDxfId="8"/>
    <tableColumn id="11" xr3:uid="{424E126A-93C4-423B-A03F-CCCF3BBB8CC6}" name="ADHS Funding" dataDxfId="7" totalsRowDxfId="6"/>
    <tableColumn id="10" xr3:uid="{DF4E80C4-A2C6-455D-9342-EC7E2823F4F5}" name="Total Grant Eligible Costs" dataDxfId="5" totalsRowDxfId="4"/>
    <tableColumn id="8" xr3:uid="{C6AFF88A-F65A-4051-89CF-C3D9C3B26B7A}" name="Funding Sources" dataDxfId="3" totalsRowDxfId="2"/>
    <tableColumn id="7" xr3:uid="{E5778D20-993D-4759-A40E-950D9CE24B24}" name="Notes" dataDxfId="1" totalsRowDxfId="0"/>
  </tableColumns>
  <tableStyleInfo name="TableStyleMedium4"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 dT="2023-08-11T16:12:43.16" personId="{531B8642-4006-4114-9CE8-789EED358D4B}" id="{A00BDFEB-732A-405F-B702-B2702A1EDD4E}">
    <text>Adjusted to BCA guidance cap of .86 miles for walking trips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bea.gov/scb/account_articles/national/wlth2594/tableC.ht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7.bin"/><Relationship Id="rId1" Type="http://schemas.openxmlformats.org/officeDocument/2006/relationships/hyperlink" Target="https://ncdot.maps.arcgis.com/apps/webappviewer/index.html?id=964881960f0549de8c3583bf46ef5ed4"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arb.ca.gov/emfac/emissions-inventory/b63464fd92fc8220a78715221ed7159727297627" TargetMode="External"/><Relationship Id="rId1" Type="http://schemas.openxmlformats.org/officeDocument/2006/relationships/hyperlink" Target="https://arb.ca.gov/emfac/emissions-inventory/747eda1236e185f07668f8c5fabd093d532c0f50"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whitehouse.gov/wp-content/uploads/2022/03/hist10z1_fy2023.xls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odot.gov/programs/research/pdfs/2022/wildlife-prioritization/eswps-bca-instructions" TargetMode="External"/><Relationship Id="rId1" Type="http://schemas.openxmlformats.org/officeDocument/2006/relationships/hyperlink" Target="https://codot.gov/programs/research/pdfs/2022/wildlife-prioritization/eswps-bca-instruction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59999389629810485"/>
  </sheetPr>
  <dimension ref="A2:Q39"/>
  <sheetViews>
    <sheetView tabSelected="1" topLeftCell="A19" zoomScale="85" zoomScaleNormal="85" workbookViewId="0">
      <selection activeCell="C21" sqref="C21"/>
    </sheetView>
  </sheetViews>
  <sheetFormatPr defaultRowHeight="14.4" x14ac:dyDescent="0.3"/>
  <cols>
    <col min="2" max="2" width="40.44140625" style="4" customWidth="1"/>
    <col min="3" max="3" width="26.33203125" style="4" customWidth="1"/>
    <col min="4" max="4" width="13.33203125" customWidth="1"/>
    <col min="7" max="7" width="9.109375" style="16"/>
    <col min="10" max="17" width="9.33203125" customWidth="1"/>
  </cols>
  <sheetData>
    <row r="2" spans="1:11" x14ac:dyDescent="0.3">
      <c r="B2" s="50"/>
      <c r="C2" s="6" t="s">
        <v>0</v>
      </c>
    </row>
    <row r="3" spans="1:11" x14ac:dyDescent="0.3">
      <c r="B3" s="18" t="s">
        <v>1</v>
      </c>
      <c r="C3" s="18" t="s">
        <v>2</v>
      </c>
    </row>
    <row r="4" spans="1:11" x14ac:dyDescent="0.3">
      <c r="B4" s="18"/>
      <c r="C4" s="18" t="str">
        <f>Inputs!B7&amp;"-"&amp;(Inputs!B7+Inputs!B8)</f>
        <v>2028-2048</v>
      </c>
      <c r="H4" s="16"/>
      <c r="J4" s="16"/>
    </row>
    <row r="5" spans="1:11" x14ac:dyDescent="0.3">
      <c r="B5" s="469" t="s">
        <v>3</v>
      </c>
      <c r="C5" s="469"/>
      <c r="J5" s="16"/>
    </row>
    <row r="6" spans="1:11" x14ac:dyDescent="0.3">
      <c r="B6" s="25" t="s">
        <v>4</v>
      </c>
      <c r="C6" s="23">
        <f>'CapitalCosts '!D35/10^6</f>
        <v>244.911632</v>
      </c>
      <c r="J6" s="16"/>
    </row>
    <row r="7" spans="1:11" x14ac:dyDescent="0.3">
      <c r="B7" s="47" t="s">
        <v>5</v>
      </c>
      <c r="C7" s="48">
        <f t="shared" ref="C7" si="0">C6</f>
        <v>244.911632</v>
      </c>
      <c r="H7" s="16"/>
      <c r="I7" s="16"/>
      <c r="J7" s="16"/>
    </row>
    <row r="8" spans="1:11" x14ac:dyDescent="0.3">
      <c r="B8" s="469" t="s">
        <v>6</v>
      </c>
      <c r="C8" s="469"/>
      <c r="I8" s="16"/>
      <c r="J8" s="16"/>
    </row>
    <row r="9" spans="1:11" x14ac:dyDescent="0.3">
      <c r="B9" s="24" t="s">
        <v>7</v>
      </c>
      <c r="C9" s="18"/>
      <c r="I9" s="16"/>
      <c r="J9" s="16"/>
    </row>
    <row r="10" spans="1:11" x14ac:dyDescent="0.3">
      <c r="A10" s="17"/>
      <c r="B10" s="25" t="s">
        <v>8</v>
      </c>
      <c r="C10" s="23">
        <f>Safety!J45/10^6</f>
        <v>44.703398386231981</v>
      </c>
      <c r="D10" s="17">
        <f t="shared" ref="D10:D35" si="1">C10/$C$36</f>
        <v>0.14793324409863162</v>
      </c>
      <c r="H10" s="16"/>
      <c r="I10" s="16"/>
      <c r="J10" s="16"/>
    </row>
    <row r="11" spans="1:11" x14ac:dyDescent="0.3">
      <c r="A11" s="17"/>
      <c r="B11" s="25" t="s">
        <v>9</v>
      </c>
      <c r="C11" s="23">
        <f>EmergencyServices!C66/10^6</f>
        <v>11.064581312506295</v>
      </c>
      <c r="D11" s="17">
        <f t="shared" si="1"/>
        <v>3.6615100131990611E-2</v>
      </c>
      <c r="H11" s="16"/>
      <c r="I11" s="16"/>
      <c r="J11" s="16"/>
    </row>
    <row r="12" spans="1:11" x14ac:dyDescent="0.3">
      <c r="A12" s="17"/>
      <c r="B12" s="25" t="s">
        <v>10</v>
      </c>
      <c r="C12" s="68">
        <f>'Wildlife Safety'!E42/10^6</f>
        <v>1.5164609079107163E-2</v>
      </c>
      <c r="D12" s="17">
        <f t="shared" si="1"/>
        <v>5.0182981552713567E-5</v>
      </c>
      <c r="J12" s="16"/>
    </row>
    <row r="13" spans="1:11" x14ac:dyDescent="0.3">
      <c r="B13" s="26" t="s">
        <v>11</v>
      </c>
      <c r="C13" s="23">
        <f>SUM(C10:C12)</f>
        <v>55.783144307817381</v>
      </c>
      <c r="D13" s="17">
        <f t="shared" si="1"/>
        <v>0.18459852721217493</v>
      </c>
      <c r="J13" s="16"/>
    </row>
    <row r="14" spans="1:11" x14ac:dyDescent="0.3">
      <c r="B14" s="24" t="s">
        <v>23</v>
      </c>
      <c r="C14" s="18"/>
      <c r="D14" s="17">
        <f t="shared" si="1"/>
        <v>0</v>
      </c>
    </row>
    <row r="15" spans="1:11" x14ac:dyDescent="0.3">
      <c r="A15" s="17"/>
      <c r="B15" s="27" t="s">
        <v>24</v>
      </c>
      <c r="C15" s="23">
        <f>'O&amp;M_Costs'!H35/10^6</f>
        <v>8.8063959999999994</v>
      </c>
      <c r="D15" s="17">
        <f t="shared" si="1"/>
        <v>2.9142274997563593E-2</v>
      </c>
      <c r="J15" s="16"/>
    </row>
    <row r="16" spans="1:11" x14ac:dyDescent="0.3">
      <c r="A16" s="17"/>
      <c r="B16" s="27" t="s">
        <v>25</v>
      </c>
      <c r="C16" s="23">
        <f>Residual!F20/10^6</f>
        <v>23.757609148189292</v>
      </c>
      <c r="D16" s="17">
        <f t="shared" si="1"/>
        <v>7.8619083116539951E-2</v>
      </c>
      <c r="J16" s="16"/>
      <c r="K16" s="16"/>
    </row>
    <row r="17" spans="1:17" x14ac:dyDescent="0.3">
      <c r="B17" s="26" t="s">
        <v>11</v>
      </c>
      <c r="C17" s="23">
        <f>SUM(C15:C16)</f>
        <v>32.564005148189295</v>
      </c>
      <c r="D17" s="17">
        <f t="shared" si="1"/>
        <v>0.10776135811410356</v>
      </c>
      <c r="J17" s="16"/>
      <c r="K17" s="16"/>
    </row>
    <row r="18" spans="1:17" ht="28.8" x14ac:dyDescent="0.3">
      <c r="B18" s="24" t="s">
        <v>843</v>
      </c>
      <c r="C18" s="18"/>
      <c r="D18" s="17">
        <f t="shared" si="1"/>
        <v>0</v>
      </c>
      <c r="J18" s="60"/>
      <c r="K18" s="60"/>
      <c r="L18" s="60"/>
      <c r="M18" s="60"/>
      <c r="N18" s="60"/>
      <c r="O18" s="60"/>
      <c r="P18" s="60"/>
      <c r="Q18" s="60"/>
    </row>
    <row r="19" spans="1:17" x14ac:dyDescent="0.3">
      <c r="A19" s="17"/>
      <c r="B19" s="27" t="s">
        <v>13</v>
      </c>
      <c r="C19" s="23">
        <f>TT_Savings!F38/10^6</f>
        <v>63.900523999999997</v>
      </c>
      <c r="D19" s="17">
        <f t="shared" si="1"/>
        <v>0.21146069775835794</v>
      </c>
      <c r="J19" s="60"/>
      <c r="K19" s="60"/>
      <c r="L19" s="60"/>
      <c r="M19" s="60"/>
      <c r="N19" s="60"/>
      <c r="O19" s="60"/>
      <c r="P19" s="60"/>
      <c r="Q19" s="60"/>
    </row>
    <row r="20" spans="1:17" x14ac:dyDescent="0.3">
      <c r="A20" s="17"/>
      <c r="B20" s="27" t="s">
        <v>14</v>
      </c>
      <c r="C20" s="23">
        <f>TT_Savings!L38/10^6</f>
        <v>4.2091900000000004</v>
      </c>
      <c r="D20" s="17">
        <f t="shared" si="1"/>
        <v>1.3929122934852659E-2</v>
      </c>
      <c r="J20" s="60"/>
      <c r="K20" s="60"/>
      <c r="L20" s="60"/>
      <c r="M20" s="60"/>
      <c r="N20" s="60"/>
      <c r="O20" s="60"/>
      <c r="P20" s="60"/>
      <c r="Q20" s="60"/>
    </row>
    <row r="21" spans="1:17" x14ac:dyDescent="0.3">
      <c r="A21" s="17"/>
      <c r="B21" s="27" t="s">
        <v>15</v>
      </c>
      <c r="C21" s="23">
        <f>TT_Savings!R38/10^6</f>
        <v>7.2714840000000001</v>
      </c>
      <c r="D21" s="17">
        <f t="shared" si="1"/>
        <v>2.4062918175424285E-2</v>
      </c>
      <c r="J21" s="60"/>
      <c r="K21" s="60"/>
      <c r="L21" s="60"/>
      <c r="M21" s="60"/>
      <c r="N21" s="60"/>
      <c r="O21" s="60"/>
      <c r="P21" s="60"/>
      <c r="Q21" s="60"/>
    </row>
    <row r="22" spans="1:17" x14ac:dyDescent="0.3">
      <c r="A22" s="17"/>
      <c r="B22" s="27" t="s">
        <v>16</v>
      </c>
      <c r="C22" s="23">
        <f>SUM(SignalCoord!J40/10^6)</f>
        <v>3.5860460000000001</v>
      </c>
      <c r="D22" s="17">
        <f t="shared" si="1"/>
        <v>1.1867004241679904E-2</v>
      </c>
      <c r="J22" s="60"/>
      <c r="K22" s="60"/>
      <c r="L22" s="60"/>
      <c r="M22" s="60"/>
      <c r="N22" s="60"/>
      <c r="O22" s="60"/>
      <c r="P22" s="60"/>
      <c r="Q22" s="60"/>
    </row>
    <row r="23" spans="1:17" x14ac:dyDescent="0.3">
      <c r="A23" s="17"/>
      <c r="B23" s="27" t="s">
        <v>17</v>
      </c>
      <c r="C23" s="23">
        <f>'Maint Delays Avoidance'!L43/10^6</f>
        <v>14.321866999999999</v>
      </c>
      <c r="D23" s="17">
        <f t="shared" si="1"/>
        <v>4.7394165171828644E-2</v>
      </c>
      <c r="E23" s="401"/>
      <c r="J23" s="60"/>
      <c r="K23" s="60"/>
      <c r="L23" s="60"/>
      <c r="M23" s="60"/>
      <c r="N23" s="60"/>
      <c r="O23" s="60"/>
      <c r="P23" s="60"/>
      <c r="Q23" s="60"/>
    </row>
    <row r="24" spans="1:17" x14ac:dyDescent="0.3">
      <c r="A24" s="17"/>
      <c r="B24" s="27" t="s">
        <v>18</v>
      </c>
      <c r="C24" s="23">
        <f>('DMS Delay Avoidance'!H41+'DMS Delay Avoidance'!K41)/10^6</f>
        <v>81.906976999999998</v>
      </c>
      <c r="D24" s="17">
        <f t="shared" si="1"/>
        <v>0.27104795741108129</v>
      </c>
      <c r="J24" s="60"/>
      <c r="K24" s="60"/>
      <c r="L24" s="60"/>
      <c r="M24" s="60"/>
      <c r="N24" s="60"/>
      <c r="O24" s="60"/>
      <c r="P24" s="60"/>
      <c r="Q24" s="60"/>
    </row>
    <row r="25" spans="1:17" x14ac:dyDescent="0.3">
      <c r="A25" s="17"/>
      <c r="B25" s="27" t="s">
        <v>19</v>
      </c>
      <c r="C25" s="23">
        <f>AgAccess!E39/10^6</f>
        <v>35.602005790515705</v>
      </c>
      <c r="D25" s="17">
        <f t="shared" si="1"/>
        <v>0.11781476136345222</v>
      </c>
      <c r="J25" s="60"/>
      <c r="K25" s="60"/>
      <c r="L25" s="60"/>
      <c r="M25" s="60"/>
      <c r="N25" s="60"/>
      <c r="O25" s="60"/>
      <c r="P25" s="60"/>
      <c r="Q25" s="60"/>
    </row>
    <row r="26" spans="1:17" x14ac:dyDescent="0.3">
      <c r="B26" s="26" t="s">
        <v>11</v>
      </c>
      <c r="C26" s="23">
        <f>SUM(C19:C25)</f>
        <v>210.79809379051568</v>
      </c>
      <c r="D26" s="17">
        <f t="shared" si="1"/>
        <v>0.69757662705667689</v>
      </c>
      <c r="J26" s="60"/>
      <c r="K26" s="60"/>
      <c r="L26" s="60"/>
      <c r="M26" s="60"/>
      <c r="N26" s="60"/>
      <c r="O26" s="60"/>
      <c r="P26" s="60"/>
      <c r="Q26" s="60"/>
    </row>
    <row r="27" spans="1:17" ht="28.8" x14ac:dyDescent="0.3">
      <c r="B27" s="24" t="s">
        <v>844</v>
      </c>
      <c r="C27" s="23"/>
      <c r="D27" s="17">
        <f t="shared" si="1"/>
        <v>0</v>
      </c>
      <c r="J27" s="16"/>
      <c r="K27" s="16"/>
    </row>
    <row r="28" spans="1:17" x14ac:dyDescent="0.3">
      <c r="A28" s="17"/>
      <c r="B28" s="27" t="s">
        <v>20</v>
      </c>
      <c r="C28" s="23">
        <f>SUM(('Emissions-Idling'!R61+'Emissions-Idling'!O37)/10^6)</f>
        <v>2.4103789999999998</v>
      </c>
      <c r="D28" s="17">
        <f t="shared" si="1"/>
        <v>7.9764670662496144E-3</v>
      </c>
    </row>
    <row r="29" spans="1:17" x14ac:dyDescent="0.3">
      <c r="B29" s="26" t="s">
        <v>11</v>
      </c>
      <c r="C29" s="29">
        <f>SUM(C28:C28)</f>
        <v>2.4103789999999998</v>
      </c>
      <c r="D29" s="17">
        <f t="shared" si="1"/>
        <v>7.9764670662496144E-3</v>
      </c>
      <c r="J29" s="60"/>
      <c r="K29" s="60"/>
      <c r="L29" s="60"/>
      <c r="M29" s="60"/>
      <c r="N29" s="60"/>
      <c r="O29" s="60"/>
      <c r="P29" s="60"/>
      <c r="Q29" s="60"/>
    </row>
    <row r="30" spans="1:17" ht="28.8" x14ac:dyDescent="0.3">
      <c r="B30" s="24" t="s">
        <v>845</v>
      </c>
      <c r="C30" s="29"/>
      <c r="D30" s="17">
        <f t="shared" si="1"/>
        <v>0</v>
      </c>
      <c r="J30" s="60"/>
      <c r="K30" s="60"/>
      <c r="L30" s="60"/>
      <c r="M30" s="60"/>
      <c r="N30" s="60"/>
      <c r="O30" s="60"/>
      <c r="P30" s="60"/>
      <c r="Q30" s="60"/>
    </row>
    <row r="31" spans="1:17" x14ac:dyDescent="0.3">
      <c r="A31" s="17"/>
      <c r="B31" s="27" t="s">
        <v>21</v>
      </c>
      <c r="C31" s="23">
        <f>ParatransitTT_Savings!H38/10^6</f>
        <v>0.44411600000000001</v>
      </c>
      <c r="D31" s="17">
        <f t="shared" si="1"/>
        <v>1.4696761993008211E-3</v>
      </c>
      <c r="J31" s="60"/>
      <c r="K31" s="60"/>
      <c r="L31" s="60"/>
      <c r="M31" s="60"/>
      <c r="N31" s="60"/>
      <c r="O31" s="60"/>
      <c r="P31" s="60"/>
      <c r="Q31" s="60"/>
    </row>
    <row r="32" spans="1:17" x14ac:dyDescent="0.3">
      <c r="B32" s="26" t="s">
        <v>11</v>
      </c>
      <c r="C32" s="29">
        <f>SUM(C31)</f>
        <v>0.44411600000000001</v>
      </c>
      <c r="D32" s="17">
        <f t="shared" si="1"/>
        <v>1.4696761993008211E-3</v>
      </c>
      <c r="J32" s="60"/>
      <c r="K32" s="60"/>
      <c r="L32" s="60"/>
      <c r="M32" s="60"/>
      <c r="N32" s="60"/>
      <c r="O32" s="60"/>
      <c r="P32" s="60"/>
      <c r="Q32" s="60"/>
    </row>
    <row r="33" spans="1:17" ht="28.8" x14ac:dyDescent="0.3">
      <c r="B33" s="24" t="s">
        <v>846</v>
      </c>
      <c r="C33" s="23"/>
      <c r="D33" s="17">
        <f t="shared" si="1"/>
        <v>0</v>
      </c>
      <c r="J33" s="60"/>
      <c r="K33" s="60"/>
      <c r="L33" s="60"/>
      <c r="M33" s="60"/>
      <c r="N33" s="60"/>
      <c r="O33" s="60"/>
      <c r="P33" s="60"/>
      <c r="Q33" s="60"/>
    </row>
    <row r="34" spans="1:17" x14ac:dyDescent="0.3">
      <c r="A34" s="17"/>
      <c r="B34" s="27" t="s">
        <v>22</v>
      </c>
      <c r="C34" s="23">
        <f>SUM(('Non-Motorist Savings'!E70+'Non-Motorist Savings'!E44)/10^6)</f>
        <v>0.186553</v>
      </c>
      <c r="D34" s="17">
        <f t="shared" si="1"/>
        <v>6.1734435149412778E-4</v>
      </c>
      <c r="J34" s="60"/>
      <c r="K34" s="60"/>
      <c r="L34" s="60"/>
      <c r="M34" s="60"/>
      <c r="N34" s="60"/>
      <c r="O34" s="60"/>
      <c r="P34" s="60"/>
      <c r="Q34" s="60"/>
    </row>
    <row r="35" spans="1:17" x14ac:dyDescent="0.3">
      <c r="B35" s="26" t="s">
        <v>11</v>
      </c>
      <c r="C35" s="29">
        <f>SUM(C34)</f>
        <v>0.186553</v>
      </c>
      <c r="D35" s="17">
        <f t="shared" si="1"/>
        <v>6.1734435149412778E-4</v>
      </c>
    </row>
    <row r="36" spans="1:17" x14ac:dyDescent="0.3">
      <c r="B36" s="44" t="s">
        <v>26</v>
      </c>
      <c r="C36" s="67">
        <f>SUM(C35,C29,C17,C26,C13,C32)</f>
        <v>302.18629124652239</v>
      </c>
      <c r="D36" s="43"/>
    </row>
    <row r="37" spans="1:17" x14ac:dyDescent="0.3">
      <c r="B37" s="469" t="s">
        <v>27</v>
      </c>
      <c r="C37" s="469"/>
    </row>
    <row r="38" spans="1:17" x14ac:dyDescent="0.3">
      <c r="B38" s="45" t="s">
        <v>28</v>
      </c>
      <c r="C38" s="46">
        <f>C36-C7</f>
        <v>57.27465924652239</v>
      </c>
    </row>
    <row r="39" spans="1:17" x14ac:dyDescent="0.3">
      <c r="B39" s="24" t="s">
        <v>29</v>
      </c>
      <c r="C39" s="28">
        <f>C36/C7</f>
        <v>1.2338584687824152</v>
      </c>
    </row>
  </sheetData>
  <sheetProtection algorithmName="SHA-512" hashValue="AyuokPLJkLIWCAAPqbYF6hlcCq1J6j1CpOjQoGWDnH5fdniVc9ZyEtCnhYTmOs3E2JxLqZSAiYbM7Pm80EuOog==" saltValue="DsUe7lV6V9jUIlpgyi53/w==" spinCount="100000" sheet="1" objects="1" scenarios="1"/>
  <mergeCells count="3">
    <mergeCell ref="B37:C37"/>
    <mergeCell ref="B5:C5"/>
    <mergeCell ref="B8:C8"/>
  </mergeCells>
  <phoneticPr fontId="47"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F268C-4666-407D-9789-FC1915CA4722}">
  <dimension ref="A1:AR41"/>
  <sheetViews>
    <sheetView zoomScaleNormal="100" workbookViewId="0">
      <selection activeCell="I14" sqref="I14"/>
    </sheetView>
  </sheetViews>
  <sheetFormatPr defaultRowHeight="14.4" x14ac:dyDescent="0.3"/>
  <cols>
    <col min="1" max="1" width="10.6640625" style="148" customWidth="1"/>
    <col min="2" max="2" width="46.44140625" style="3" customWidth="1"/>
    <col min="3" max="3" width="12.5546875" style="3" customWidth="1"/>
    <col min="4" max="5" width="11.33203125" style="3" customWidth="1"/>
    <col min="6" max="6" width="10.6640625" style="3" customWidth="1"/>
    <col min="7" max="7" width="18.33203125" style="3" customWidth="1"/>
    <col min="8" max="8" width="17" style="3" customWidth="1"/>
    <col min="9" max="9" width="11.5546875" style="3" customWidth="1"/>
    <col min="10" max="10" width="18" style="3" customWidth="1"/>
    <col min="11" max="11" width="17.33203125" style="3" customWidth="1"/>
    <col min="12" max="12" width="18.33203125" style="3" customWidth="1"/>
    <col min="13" max="13" width="14.5546875" style="3" customWidth="1"/>
    <col min="14" max="14" width="15.6640625" style="3" customWidth="1"/>
    <col min="15" max="15" width="18" style="3" customWidth="1"/>
    <col min="16" max="16" width="17.33203125" style="3" customWidth="1"/>
    <col min="17" max="17" width="18.33203125" style="3" customWidth="1"/>
    <col min="18" max="18" width="14.5546875" style="3" customWidth="1"/>
    <col min="19" max="19" width="15.6640625" style="3" customWidth="1"/>
    <col min="20" max="20" width="18" style="3" customWidth="1"/>
    <col min="21" max="21" width="17.33203125" style="3" customWidth="1"/>
    <col min="22" max="22" width="18.33203125" style="3" customWidth="1"/>
    <col min="23" max="23" width="14.5546875" style="3" customWidth="1"/>
    <col min="24" max="24" width="15.6640625" style="3" customWidth="1"/>
    <col min="25" max="25" width="18" style="3" customWidth="1"/>
    <col min="26" max="26" width="17.33203125" style="3" customWidth="1"/>
    <col min="27" max="27" width="18.33203125" style="3" customWidth="1"/>
    <col min="28" max="28" width="14.5546875" style="3" customWidth="1"/>
    <col min="29" max="29" width="15.6640625" style="3" customWidth="1"/>
    <col min="30" max="30" width="18" style="3" customWidth="1"/>
    <col min="31" max="31" width="17.33203125" style="3" customWidth="1"/>
    <col min="32" max="32" width="18.33203125" style="3" customWidth="1"/>
    <col min="33" max="33" width="14.5546875" style="3" customWidth="1"/>
    <col min="34" max="34" width="15.6640625" style="3" customWidth="1"/>
    <col min="35" max="35" width="18" style="3" customWidth="1"/>
    <col min="36" max="36" width="17.33203125" style="3" customWidth="1"/>
    <col min="37" max="37" width="18.33203125" style="3" customWidth="1"/>
    <col min="38" max="38" width="14.5546875" style="3" customWidth="1"/>
    <col min="39" max="39" width="15.6640625" style="3" customWidth="1"/>
    <col min="40" max="40" width="18" style="3" customWidth="1"/>
    <col min="41" max="41" width="17.33203125" style="3" customWidth="1"/>
    <col min="42" max="42" width="18.33203125" style="3" customWidth="1"/>
    <col min="43" max="43" width="14.5546875" style="3" customWidth="1"/>
    <col min="44" max="44" width="15.6640625" style="3" customWidth="1"/>
    <col min="45" max="45" width="18" style="3" customWidth="1"/>
    <col min="46" max="46" width="17.33203125" style="3" customWidth="1"/>
    <col min="47" max="47" width="18.33203125" style="3" customWidth="1"/>
    <col min="48" max="48" width="14.5546875" style="3" customWidth="1"/>
    <col min="49" max="49" width="15.6640625" style="3" customWidth="1"/>
    <col min="50" max="50" width="18" style="3" customWidth="1"/>
    <col min="51" max="51" width="17.33203125" style="3" customWidth="1"/>
    <col min="52" max="52" width="18.33203125" style="3" customWidth="1"/>
    <col min="53" max="53" width="14.5546875" style="3" customWidth="1"/>
    <col min="54" max="54" width="15.6640625" style="3" customWidth="1"/>
    <col min="55" max="55" width="18" style="3" customWidth="1"/>
    <col min="56" max="56" width="17.33203125" style="3" customWidth="1"/>
    <col min="57" max="57" width="18.33203125" style="3" customWidth="1"/>
    <col min="58" max="58" width="14.5546875" style="3" customWidth="1"/>
    <col min="59" max="59" width="15.6640625" style="3" customWidth="1"/>
    <col min="60" max="60" width="18" style="3" customWidth="1"/>
    <col min="61" max="61" width="17.33203125" style="3" customWidth="1"/>
    <col min="62" max="62" width="18.33203125" style="3" customWidth="1"/>
    <col min="63" max="63" width="14.5546875" style="3" customWidth="1"/>
    <col min="64" max="64" width="15.6640625" style="3" customWidth="1"/>
    <col min="65" max="16379" width="9.109375" style="3"/>
    <col min="16380" max="16380" width="8.6640625" style="3" bestFit="1" customWidth="1"/>
    <col min="16381" max="16384" width="8.6640625" style="3" customWidth="1"/>
  </cols>
  <sheetData>
    <row r="1" spans="1:44" x14ac:dyDescent="0.3">
      <c r="B1" s="5" t="s">
        <v>250</v>
      </c>
    </row>
    <row r="2" spans="1:44" x14ac:dyDescent="0.3">
      <c r="B2" s="5"/>
    </row>
    <row r="3" spans="1:44" x14ac:dyDescent="0.3">
      <c r="B3" s="3" t="str">
        <f>Inputs!A3</f>
        <v xml:space="preserve">Discount Rate </v>
      </c>
      <c r="C3" s="200">
        <f>Inputs!B3</f>
        <v>7.0000000000000007E-2</v>
      </c>
    </row>
    <row r="4" spans="1:44" x14ac:dyDescent="0.3">
      <c r="B4" s="3" t="str">
        <f>Inputs!A10</f>
        <v>Discount year</v>
      </c>
      <c r="C4" s="141">
        <f>Inputs!B10</f>
        <v>2021</v>
      </c>
    </row>
    <row r="5" spans="1:44" x14ac:dyDescent="0.3">
      <c r="B5" s="3" t="str">
        <f>Inputs!A11</f>
        <v>Benefit Year</v>
      </c>
      <c r="C5" s="141">
        <f>Inputs!B11</f>
        <v>2028</v>
      </c>
    </row>
    <row r="6" spans="1:44" x14ac:dyDescent="0.3">
      <c r="B6" s="3" t="s">
        <v>69</v>
      </c>
      <c r="C6" s="141">
        <f>Inputs!B15</f>
        <v>320</v>
      </c>
    </row>
    <row r="7" spans="1:44" s="141" customFormat="1" x14ac:dyDescent="0.3">
      <c r="A7" s="154"/>
      <c r="B7" s="158" t="str">
        <f>Inputs!A24</f>
        <v xml:space="preserve">US 74 closure or detours per year </v>
      </c>
      <c r="C7" s="441">
        <f>Inputs!B24</f>
        <v>32.570487534561032</v>
      </c>
      <c r="D7" s="141" t="s">
        <v>231</v>
      </c>
    </row>
    <row r="8" spans="1:44" x14ac:dyDescent="0.3">
      <c r="B8" s="3" t="s">
        <v>232</v>
      </c>
      <c r="C8" s="201">
        <f>TIMS_Summary!C34/(C6*24)</f>
        <v>4.3225549768537049E-2</v>
      </c>
      <c r="D8" s="202"/>
    </row>
    <row r="9" spans="1:44" x14ac:dyDescent="0.3">
      <c r="B9" s="3" t="str">
        <f>Inputs!A21</f>
        <v>US 74 closure per vehicle per instance (hours)</v>
      </c>
      <c r="C9" s="51">
        <f>Inputs!B21-Inputs!B22</f>
        <v>3.2032904884326863</v>
      </c>
      <c r="D9" s="3" t="s">
        <v>234</v>
      </c>
    </row>
    <row r="10" spans="1:44" x14ac:dyDescent="0.3">
      <c r="B10" s="3" t="s">
        <v>235</v>
      </c>
      <c r="C10" s="203">
        <f>TrafficData!D3</f>
        <v>0.06</v>
      </c>
    </row>
    <row r="11" spans="1:44" x14ac:dyDescent="0.3">
      <c r="B11" s="3" t="s">
        <v>236</v>
      </c>
      <c r="C11" s="204">
        <f>Inputs!B32</f>
        <v>18.8</v>
      </c>
    </row>
    <row r="12" spans="1:44" x14ac:dyDescent="0.3">
      <c r="B12" s="3" t="str">
        <f>Inputs!A33</f>
        <v>Value of Time, (2021$), truck driver per hour</v>
      </c>
      <c r="C12" s="204">
        <f>Inputs!B33</f>
        <v>32.4</v>
      </c>
    </row>
    <row r="13" spans="1:44" x14ac:dyDescent="0.3">
      <c r="B13" s="3" t="str">
        <f>Inputs!A34</f>
        <v>Truck operating costs per hour (2021$)</v>
      </c>
      <c r="C13" s="204">
        <f>Inputs!B34</f>
        <v>55.971845469705386</v>
      </c>
    </row>
    <row r="14" spans="1:44" x14ac:dyDescent="0.3">
      <c r="B14" s="205" t="s">
        <v>237</v>
      </c>
      <c r="C14" s="141">
        <f>Inputs!B26</f>
        <v>1.67</v>
      </c>
      <c r="I14" s="148"/>
    </row>
    <row r="15" spans="1:44" ht="28.8" x14ac:dyDescent="0.3">
      <c r="B15" s="158" t="str">
        <f>Inputs!A31</f>
        <v>Vehicle Maintenance Cost per Mile (Gas, Maintenance, Tires, Depreciation) (2021$/Mile) -- Light Duty Vehicles</v>
      </c>
      <c r="C15" s="204">
        <f>Inputs!B31</f>
        <v>0.46</v>
      </c>
      <c r="H15" s="206"/>
      <c r="I15" s="207"/>
      <c r="J15" s="5"/>
    </row>
    <row r="16" spans="1:44" x14ac:dyDescent="0.3">
      <c r="B16" s="141"/>
      <c r="D16" s="191"/>
      <c r="AQ16" s="168"/>
      <c r="AR16" s="168"/>
    </row>
    <row r="17" spans="1:12" x14ac:dyDescent="0.3">
      <c r="E17" s="148"/>
      <c r="F17" s="476" t="s">
        <v>238</v>
      </c>
      <c r="G17" s="476"/>
      <c r="H17" s="476"/>
      <c r="I17" s="477" t="s">
        <v>239</v>
      </c>
      <c r="J17" s="477"/>
      <c r="K17" s="478"/>
      <c r="L17" s="171"/>
    </row>
    <row r="18" spans="1:12" s="141" customFormat="1" ht="57.6" x14ac:dyDescent="0.3">
      <c r="A18" s="169" t="s">
        <v>132</v>
      </c>
      <c r="B18" s="18" t="s">
        <v>133</v>
      </c>
      <c r="C18" s="18" t="s">
        <v>240</v>
      </c>
      <c r="D18" s="18" t="s">
        <v>241</v>
      </c>
      <c r="E18" s="18" t="s">
        <v>242</v>
      </c>
      <c r="F18" s="170" t="s">
        <v>243</v>
      </c>
      <c r="G18" s="208" t="s">
        <v>244</v>
      </c>
      <c r="H18" s="208" t="s">
        <v>245</v>
      </c>
      <c r="I18" s="18" t="s">
        <v>246</v>
      </c>
      <c r="J18" s="18" t="s">
        <v>247</v>
      </c>
      <c r="K18" s="209" t="s">
        <v>248</v>
      </c>
      <c r="L18" s="18" t="s">
        <v>249</v>
      </c>
    </row>
    <row r="19" spans="1:12" ht="14.7" customHeight="1" x14ac:dyDescent="0.3">
      <c r="A19" s="148">
        <f>IF((B19&gt;(Inputs!$B$7+Inputs!$B$8)),0,IF((B19&lt;Inputs!$B$7),0,((B19-Inputs!$B$7))))</f>
        <v>0</v>
      </c>
      <c r="B19" s="171">
        <f>Inputs!B11</f>
        <v>2028</v>
      </c>
      <c r="C19" s="210">
        <f>_xlfn.XLOOKUP('DMS Delay Avoidance'!B19,TrafficData!$J$8:$J$48,TrafficData!$K$8:$K$48,)*$C$6</f>
        <v>1920410.5329751237</v>
      </c>
      <c r="D19" s="210">
        <f>C19*$C$8</f>
        <v>83010.801069138965</v>
      </c>
      <c r="E19" s="210">
        <f>SUM(D19*$C$9)</f>
        <v>265907.70950195071</v>
      </c>
      <c r="F19" s="211">
        <f t="shared" ref="F19:F38" si="0">(1-$C$10)*E19*$C$14</f>
        <v>417421.9223761622</v>
      </c>
      <c r="G19" s="323">
        <f>F19*$C$11*Inputs!$B$12</f>
        <v>3923766.0703359246</v>
      </c>
      <c r="H19" s="172">
        <f t="shared" ref="H19:H38" si="1">ROUND($G19/((1+C$3)^($B19-$C$4)),0)</f>
        <v>2443524</v>
      </c>
      <c r="I19" s="211">
        <f t="shared" ref="I19:I38" si="2">SUM(E19*$C$10)</f>
        <v>15954.462570117043</v>
      </c>
      <c r="J19" s="323">
        <f>I19*($C$12+$C$13)*Inputs!$B$12</f>
        <v>704962.65039929096</v>
      </c>
      <c r="K19" s="212">
        <f t="shared" ref="K19:K38" si="3">ROUND($J19/((1+C$3)^($B19-$C$4)),0)</f>
        <v>439015</v>
      </c>
      <c r="L19" s="213">
        <f t="shared" ref="L19:L38" si="4">SUM(K19,H19)</f>
        <v>2882539</v>
      </c>
    </row>
    <row r="20" spans="1:12" ht="14.7" customHeight="1" x14ac:dyDescent="0.3">
      <c r="A20" s="148">
        <f>IF((B20&gt;(Inputs!$B$7+Inputs!$B$8)),0,IF((B20&lt;Inputs!$B$7),0,((B20-Inputs!$B$7))))</f>
        <v>1</v>
      </c>
      <c r="B20" s="171">
        <f>B19+1</f>
        <v>2029</v>
      </c>
      <c r="C20" s="210">
        <f>_xlfn.XLOOKUP('DMS Delay Avoidance'!B20,TrafficData!$J$8:$J$48,TrafficData!$K$8:$K$48,)*$C$6</f>
        <v>1981373.759849159</v>
      </c>
      <c r="D20" s="210">
        <f t="shared" ref="D20:D38" si="5">C20*$C$8</f>
        <v>85645.970066433205</v>
      </c>
      <c r="E20" s="210">
        <f t="shared" ref="E20:E38" si="6">SUM(D20*$C$9)</f>
        <v>274348.92128639604</v>
      </c>
      <c r="F20" s="211">
        <f t="shared" si="0"/>
        <v>430672.93663538445</v>
      </c>
      <c r="G20" s="172">
        <f t="shared" ref="G20:G38" si="7">F20*$C$11</f>
        <v>8096651.2087452281</v>
      </c>
      <c r="H20" s="172">
        <f t="shared" si="1"/>
        <v>4712325</v>
      </c>
      <c r="I20" s="211">
        <f t="shared" si="2"/>
        <v>16460.935277183762</v>
      </c>
      <c r="J20" s="172">
        <f t="shared" ref="J20:J38" si="8">I20*($C$12+$C$13)</f>
        <v>1454683.2286021055</v>
      </c>
      <c r="K20" s="212">
        <f t="shared" si="3"/>
        <v>846639</v>
      </c>
      <c r="L20" s="213">
        <f t="shared" si="4"/>
        <v>5558964</v>
      </c>
    </row>
    <row r="21" spans="1:12" x14ac:dyDescent="0.3">
      <c r="A21" s="148">
        <f>IF((B21&gt;(Inputs!$B$7+Inputs!$B$8)),0,IF((B21&lt;Inputs!$B$7),0,((B21-Inputs!$B$7))))</f>
        <v>2</v>
      </c>
      <c r="B21" s="171">
        <f t="shared" ref="B21:B39" si="9">B20+1</f>
        <v>2030</v>
      </c>
      <c r="C21" s="210">
        <f>_xlfn.XLOOKUP('DMS Delay Avoidance'!B21,TrafficData!$J$8:$J$48,TrafficData!$K$8:$K$48,)*$C$6</f>
        <v>2044272.2578368858</v>
      </c>
      <c r="D21" s="210">
        <f t="shared" si="5"/>
        <v>88364.792221567899</v>
      </c>
      <c r="E21" s="210">
        <f t="shared" si="6"/>
        <v>283058.09843567904</v>
      </c>
      <c r="F21" s="211">
        <f>(1-$C$10)*E21*$C$14</f>
        <v>444344.60292432894</v>
      </c>
      <c r="G21" s="172">
        <f>F21*$C$11</f>
        <v>8353678.5349773839</v>
      </c>
      <c r="H21" s="172">
        <f t="shared" si="1"/>
        <v>4543848</v>
      </c>
      <c r="I21" s="211">
        <f t="shared" si="2"/>
        <v>16983.485906140741</v>
      </c>
      <c r="J21" s="172">
        <f t="shared" si="8"/>
        <v>1500861.9920343889</v>
      </c>
      <c r="K21" s="212">
        <f t="shared" si="3"/>
        <v>816369</v>
      </c>
      <c r="L21" s="213">
        <f t="shared" si="4"/>
        <v>5360217</v>
      </c>
    </row>
    <row r="22" spans="1:12" x14ac:dyDescent="0.3">
      <c r="A22" s="148">
        <f>IF((B22&gt;(Inputs!$B$7+Inputs!$B$8)),0,IF((B22&lt;Inputs!$B$7),0,((B22-Inputs!$B$7))))</f>
        <v>3</v>
      </c>
      <c r="B22" s="171">
        <f t="shared" si="9"/>
        <v>2031</v>
      </c>
      <c r="C22" s="210">
        <f>_xlfn.XLOOKUP('DMS Delay Avoidance'!B22,TrafficData!$J$8:$J$48,TrafficData!$K$8:$K$48,)*$C$6</f>
        <v>2109167.4619127223</v>
      </c>
      <c r="D22" s="210">
        <f t="shared" si="5"/>
        <v>91169.923095087346</v>
      </c>
      <c r="E22" s="210">
        <f t="shared" si="6"/>
        <v>292043.7474816328</v>
      </c>
      <c r="F22" s="211">
        <f t="shared" si="0"/>
        <v>458450.27479666716</v>
      </c>
      <c r="G22" s="172">
        <f t="shared" si="7"/>
        <v>8618865.1661773436</v>
      </c>
      <c r="H22" s="172">
        <f t="shared" si="1"/>
        <v>4381394</v>
      </c>
      <c r="I22" s="211">
        <f t="shared" si="2"/>
        <v>17522.624848897969</v>
      </c>
      <c r="J22" s="172">
        <f t="shared" si="8"/>
        <v>1548506.6953704311</v>
      </c>
      <c r="K22" s="212">
        <f t="shared" si="3"/>
        <v>787182</v>
      </c>
      <c r="L22" s="213">
        <f t="shared" si="4"/>
        <v>5168576</v>
      </c>
    </row>
    <row r="23" spans="1:12" x14ac:dyDescent="0.3">
      <c r="A23" s="148">
        <f>IF((B23&gt;(Inputs!$B$7+Inputs!$B$8)),0,IF((B23&lt;Inputs!$B$7),0,((B23-Inputs!$B$7))))</f>
        <v>4</v>
      </c>
      <c r="B23" s="171">
        <f t="shared" si="9"/>
        <v>2032</v>
      </c>
      <c r="C23" s="210">
        <f>_xlfn.XLOOKUP('DMS Delay Avoidance'!B23,TrafficData!$J$8:$J$48,TrafficData!$K$8:$K$48,)*$C$6</f>
        <v>2176122.7572977762</v>
      </c>
      <c r="D23" s="210">
        <f t="shared" si="5"/>
        <v>94064.102548021096</v>
      </c>
      <c r="E23" s="210">
        <f t="shared" si="6"/>
        <v>301314.64499503281</v>
      </c>
      <c r="F23" s="211">
        <f t="shared" si="0"/>
        <v>473003.72971320245</v>
      </c>
      <c r="G23" s="172">
        <f t="shared" si="7"/>
        <v>8892470.1186082065</v>
      </c>
      <c r="H23" s="172">
        <f t="shared" si="1"/>
        <v>4224748</v>
      </c>
      <c r="I23" s="211">
        <f t="shared" si="2"/>
        <v>18078.878699701967</v>
      </c>
      <c r="J23" s="172">
        <f>I23*($C$12+$C$13)</f>
        <v>1597663.8747156106</v>
      </c>
      <c r="K23" s="212">
        <f t="shared" si="3"/>
        <v>759039</v>
      </c>
      <c r="L23" s="213">
        <f t="shared" si="4"/>
        <v>4983787</v>
      </c>
    </row>
    <row r="24" spans="1:12" x14ac:dyDescent="0.3">
      <c r="A24" s="148">
        <f>IF((B24&gt;(Inputs!$B$7+Inputs!$B$8)),0,IF((B24&lt;Inputs!$B$7),0,((B24-Inputs!$B$7))))</f>
        <v>5</v>
      </c>
      <c r="B24" s="171">
        <f t="shared" si="9"/>
        <v>2033</v>
      </c>
      <c r="C24" s="210">
        <f>_xlfn.XLOOKUP('DMS Delay Avoidance'!B24,TrafficData!$J$8:$J$48,TrafficData!$K$8:$K$48,)*$C$6</f>
        <v>2245203.5413702168</v>
      </c>
      <c r="D24" s="210">
        <f t="shared" si="5"/>
        <v>97050.157417993934</v>
      </c>
      <c r="E24" s="210">
        <f t="shared" si="6"/>
        <v>310879.84615795489</v>
      </c>
      <c r="F24" s="211">
        <f t="shared" si="0"/>
        <v>488019.18249875755</v>
      </c>
      <c r="G24" s="172">
        <f t="shared" si="7"/>
        <v>9174760.6309766416</v>
      </c>
      <c r="H24" s="172">
        <f t="shared" si="1"/>
        <v>4073703</v>
      </c>
      <c r="I24" s="211">
        <f t="shared" si="2"/>
        <v>18652.790769477291</v>
      </c>
      <c r="J24" s="172">
        <f t="shared" si="8"/>
        <v>1648381.5434589942</v>
      </c>
      <c r="K24" s="212">
        <f t="shared" si="3"/>
        <v>731901</v>
      </c>
      <c r="L24" s="213">
        <f t="shared" si="4"/>
        <v>4805604</v>
      </c>
    </row>
    <row r="25" spans="1:12" x14ac:dyDescent="0.3">
      <c r="A25" s="148">
        <f>IF((B25&gt;(Inputs!$B$7+Inputs!$B$8)),0,IF((B25&lt;Inputs!$B$7),0,((B25-Inputs!$B$7))))</f>
        <v>6</v>
      </c>
      <c r="B25" s="171">
        <f t="shared" si="9"/>
        <v>2034</v>
      </c>
      <c r="C25" s="210">
        <f>_xlfn.XLOOKUP('DMS Delay Avoidance'!B25,TrafficData!$J$8:$J$48,TrafficData!$K$8:$K$48,)*$C$6</f>
        <v>2316477.2875409857</v>
      </c>
      <c r="D25" s="210">
        <f t="shared" si="5"/>
        <v>100131.00428028859</v>
      </c>
      <c r="E25" s="210">
        <f t="shared" si="6"/>
        <v>320748.693608261</v>
      </c>
      <c r="F25" s="211">
        <f t="shared" si="0"/>
        <v>503511.29922624805</v>
      </c>
      <c r="G25" s="172">
        <f t="shared" si="7"/>
        <v>9466012.4254534636</v>
      </c>
      <c r="H25" s="172">
        <f t="shared" si="1"/>
        <v>3928059</v>
      </c>
      <c r="I25" s="211">
        <f t="shared" si="2"/>
        <v>19244.92161649566</v>
      </c>
      <c r="J25" s="172">
        <f t="shared" si="8"/>
        <v>1700709.2391695473</v>
      </c>
      <c r="K25" s="212">
        <f t="shared" si="3"/>
        <v>705734</v>
      </c>
      <c r="L25" s="213">
        <f t="shared" si="4"/>
        <v>4633793</v>
      </c>
    </row>
    <row r="26" spans="1:12" x14ac:dyDescent="0.3">
      <c r="A26" s="148">
        <f>IF((B26&gt;(Inputs!$B$7+Inputs!$B$8)),0,IF((B26&lt;Inputs!$B$7),0,((B26-Inputs!$B$7))))</f>
        <v>7</v>
      </c>
      <c r="B26" s="171">
        <f t="shared" si="9"/>
        <v>2035</v>
      </c>
      <c r="C26" s="210">
        <f>_xlfn.XLOOKUP('DMS Delay Avoidance'!B26,TrafficData!$J$8:$J$48,TrafficData!$K$8:$K$48,)*$C$6</f>
        <v>2390013.6111572343</v>
      </c>
      <c r="D26" s="210">
        <f t="shared" si="5"/>
        <v>103309.65229655798</v>
      </c>
      <c r="E26" s="210">
        <f t="shared" si="6"/>
        <v>330930.82656485221</v>
      </c>
      <c r="F26" s="211">
        <f t="shared" si="0"/>
        <v>519495.21154150501</v>
      </c>
      <c r="G26" s="172">
        <f t="shared" si="7"/>
        <v>9766509.976980295</v>
      </c>
      <c r="H26" s="172">
        <f t="shared" si="1"/>
        <v>3787621</v>
      </c>
      <c r="I26" s="211">
        <f t="shared" si="2"/>
        <v>19855.849593891133</v>
      </c>
      <c r="J26" s="172">
        <f t="shared" si="8"/>
        <v>1754698.0719810599</v>
      </c>
      <c r="K26" s="212">
        <f t="shared" si="3"/>
        <v>680502</v>
      </c>
      <c r="L26" s="213">
        <f t="shared" si="4"/>
        <v>4468123</v>
      </c>
    </row>
    <row r="27" spans="1:12" x14ac:dyDescent="0.3">
      <c r="A27" s="148">
        <f>IF((B27&gt;(Inputs!$B$7+Inputs!$B$8)),0,IF((B27&lt;Inputs!$B$7),0,((B27-Inputs!$B$7))))</f>
        <v>8</v>
      </c>
      <c r="B27" s="171">
        <f t="shared" si="9"/>
        <v>2036</v>
      </c>
      <c r="C27" s="210">
        <f>_xlfn.XLOOKUP('DMS Delay Avoidance'!B27,TrafficData!$J$8:$J$48,TrafficData!$K$8:$K$48,)*$C$6</f>
        <v>2465884.3374978602</v>
      </c>
      <c r="D27" s="210">
        <f t="shared" si="5"/>
        <v>106589.20615396976</v>
      </c>
      <c r="E27" s="210">
        <f t="shared" si="6"/>
        <v>341436.19024260208</v>
      </c>
      <c r="F27" s="211">
        <f t="shared" si="0"/>
        <v>535986.53144283663</v>
      </c>
      <c r="G27" s="172">
        <f t="shared" si="7"/>
        <v>10076546.791125329</v>
      </c>
      <c r="H27" s="172">
        <f t="shared" si="1"/>
        <v>3652204</v>
      </c>
      <c r="I27" s="211">
        <f t="shared" si="2"/>
        <v>20486.171414556124</v>
      </c>
      <c r="J27" s="172">
        <f t="shared" si="8"/>
        <v>1810400.7745130497</v>
      </c>
      <c r="K27" s="212">
        <f t="shared" si="3"/>
        <v>656173</v>
      </c>
      <c r="L27" s="213">
        <f t="shared" si="4"/>
        <v>4308377</v>
      </c>
    </row>
    <row r="28" spans="1:12" x14ac:dyDescent="0.3">
      <c r="A28" s="148">
        <f>IF((B28&gt;(Inputs!$B$7+Inputs!$B$8)),0,IF((B28&lt;Inputs!$B$7),0,((B28-Inputs!$B$7))))</f>
        <v>9</v>
      </c>
      <c r="B28" s="171">
        <f t="shared" si="9"/>
        <v>2037</v>
      </c>
      <c r="C28" s="210">
        <f>_xlfn.XLOOKUP('DMS Delay Avoidance'!B28,TrafficData!$J$8:$J$48,TrafficData!$K$8:$K$48,)*$C$6</f>
        <v>2544163.5719275535</v>
      </c>
      <c r="D28" s="210">
        <f t="shared" si="5"/>
        <v>109972.86909765346</v>
      </c>
      <c r="E28" s="210">
        <f t="shared" si="6"/>
        <v>352275.04556616623</v>
      </c>
      <c r="F28" s="211">
        <f t="shared" si="0"/>
        <v>553001.36652976763</v>
      </c>
      <c r="G28" s="172">
        <f t="shared" si="7"/>
        <v>10396425.690759633</v>
      </c>
      <c r="H28" s="172">
        <f t="shared" si="1"/>
        <v>3521629</v>
      </c>
      <c r="I28" s="211">
        <f t="shared" si="2"/>
        <v>21136.502733969974</v>
      </c>
      <c r="J28" s="172">
        <f t="shared" si="8"/>
        <v>1867871.7533764001</v>
      </c>
      <c r="K28" s="212">
        <f t="shared" si="3"/>
        <v>632713</v>
      </c>
      <c r="L28" s="213">
        <f t="shared" si="4"/>
        <v>4154342</v>
      </c>
    </row>
    <row r="29" spans="1:12" x14ac:dyDescent="0.3">
      <c r="A29" s="148">
        <f>IF((B29&gt;(Inputs!$B$7+Inputs!$B$8)),0,IF((B29&lt;Inputs!$B$7),0,((B29-Inputs!$B$7))))</f>
        <v>10</v>
      </c>
      <c r="B29" s="171">
        <f t="shared" si="9"/>
        <v>2038</v>
      </c>
      <c r="C29" s="210">
        <f>_xlfn.XLOOKUP('DMS Delay Avoidance'!B29,TrafficData!$J$8:$J$48,TrafficData!$K$8:$K$48,)*$C$6</f>
        <v>2624927.7722778777</v>
      </c>
      <c r="D29" s="210">
        <f t="shared" si="5"/>
        <v>113463.94605941248</v>
      </c>
      <c r="E29" s="210">
        <f t="shared" si="6"/>
        <v>363457.97919215536</v>
      </c>
      <c r="F29" s="211">
        <f t="shared" si="0"/>
        <v>570556.33573584538</v>
      </c>
      <c r="G29" s="172">
        <f t="shared" si="7"/>
        <v>10726459.111833893</v>
      </c>
      <c r="H29" s="172">
        <f t="shared" si="1"/>
        <v>3395722</v>
      </c>
      <c r="I29" s="211">
        <f t="shared" si="2"/>
        <v>21807.478751529321</v>
      </c>
      <c r="J29" s="172">
        <f t="shared" si="8"/>
        <v>1927167.1423140331</v>
      </c>
      <c r="K29" s="212">
        <f t="shared" si="3"/>
        <v>610092</v>
      </c>
      <c r="L29" s="213">
        <f t="shared" si="4"/>
        <v>4005814</v>
      </c>
    </row>
    <row r="30" spans="1:12" x14ac:dyDescent="0.3">
      <c r="A30" s="148">
        <f>IF((B30&gt;(Inputs!$B$7+Inputs!$B$8)),0,IF((B30&lt;Inputs!$B$7),0,((B30-Inputs!$B$7))))</f>
        <v>11</v>
      </c>
      <c r="B30" s="171">
        <f t="shared" si="9"/>
        <v>2039</v>
      </c>
      <c r="C30" s="210">
        <f>_xlfn.XLOOKUP('DMS Delay Avoidance'!B30,TrafficData!$J$8:$J$48,TrafficData!$K$8:$K$48,)*$C$6</f>
        <v>2708255.823526077</v>
      </c>
      <c r="D30" s="210">
        <f t="shared" si="5"/>
        <v>117065.84688575673</v>
      </c>
      <c r="E30" s="210">
        <f t="shared" si="6"/>
        <v>374995.91384946177</v>
      </c>
      <c r="F30" s="211">
        <f t="shared" si="0"/>
        <v>588668.58556088503</v>
      </c>
      <c r="G30" s="172">
        <f t="shared" si="7"/>
        <v>11066969.408544639</v>
      </c>
      <c r="H30" s="172">
        <f t="shared" si="1"/>
        <v>3274317</v>
      </c>
      <c r="I30" s="211">
        <f t="shared" si="2"/>
        <v>22499.754830967704</v>
      </c>
      <c r="J30" s="172">
        <f t="shared" si="8"/>
        <v>1988344.8570285353</v>
      </c>
      <c r="K30" s="212">
        <f t="shared" si="3"/>
        <v>588279</v>
      </c>
      <c r="L30" s="213">
        <f t="shared" si="4"/>
        <v>3862596</v>
      </c>
    </row>
    <row r="31" spans="1:12" x14ac:dyDescent="0.3">
      <c r="A31" s="148">
        <f>IF((B31&gt;(Inputs!$B$7+Inputs!$B$8)),0,IF((B31&lt;Inputs!$B$7),0,((B31-Inputs!$B$7))))</f>
        <v>12</v>
      </c>
      <c r="B31" s="171">
        <f t="shared" si="9"/>
        <v>2040</v>
      </c>
      <c r="C31" s="210">
        <f>_xlfn.XLOOKUP('DMS Delay Avoidance'!B31,TrafficData!$J$8:$J$48,TrafficData!$K$8:$K$48,)*$C$6</f>
        <v>2794229.1148445569</v>
      </c>
      <c r="D31" s="210">
        <f t="shared" si="5"/>
        <v>120782.08966840862</v>
      </c>
      <c r="E31" s="210">
        <f t="shared" si="6"/>
        <v>386900.11900783714</v>
      </c>
      <c r="F31" s="211">
        <f t="shared" si="0"/>
        <v>607355.80681850272</v>
      </c>
      <c r="G31" s="172">
        <f t="shared" si="7"/>
        <v>11418289.168187851</v>
      </c>
      <c r="H31" s="172">
        <f t="shared" si="1"/>
        <v>3157252</v>
      </c>
      <c r="I31" s="211">
        <f t="shared" si="2"/>
        <v>23214.007140470228</v>
      </c>
      <c r="J31" s="172">
        <f t="shared" si="8"/>
        <v>2051464.6517502726</v>
      </c>
      <c r="K31" s="212">
        <f t="shared" si="3"/>
        <v>567247</v>
      </c>
      <c r="L31" s="213">
        <f t="shared" si="4"/>
        <v>3724499</v>
      </c>
    </row>
    <row r="32" spans="1:12" x14ac:dyDescent="0.3">
      <c r="A32" s="148">
        <f>IF((B32&gt;(Inputs!$B$7+Inputs!$B$8)),0,IF((B32&lt;Inputs!$B$7),0,((B32-Inputs!$B$7))))</f>
        <v>13</v>
      </c>
      <c r="B32" s="171">
        <f t="shared" si="9"/>
        <v>2041</v>
      </c>
      <c r="C32" s="210">
        <f>_xlfn.XLOOKUP('DMS Delay Avoidance'!B32,TrafficData!$J$8:$J$48,TrafficData!$K$8:$K$48,)*$C$6</f>
        <v>2882931.6190962922</v>
      </c>
      <c r="D32" s="210">
        <f t="shared" si="5"/>
        <v>124616.30418053587</v>
      </c>
      <c r="E32" s="210">
        <f t="shared" si="6"/>
        <v>399182.22188514494</v>
      </c>
      <c r="F32" s="211">
        <f t="shared" si="0"/>
        <v>626636.2519153005</v>
      </c>
      <c r="G32" s="172">
        <f t="shared" si="7"/>
        <v>11780761.53600765</v>
      </c>
      <c r="H32" s="172">
        <f t="shared" si="1"/>
        <v>3044373</v>
      </c>
      <c r="I32" s="211">
        <f t="shared" si="2"/>
        <v>23950.933313108697</v>
      </c>
      <c r="J32" s="172">
        <f t="shared" si="8"/>
        <v>2116588.1776012606</v>
      </c>
      <c r="K32" s="212">
        <f t="shared" si="3"/>
        <v>546967</v>
      </c>
      <c r="L32" s="213">
        <f t="shared" si="4"/>
        <v>3591340</v>
      </c>
    </row>
    <row r="33" spans="1:12" x14ac:dyDescent="0.3">
      <c r="A33" s="148">
        <f>IF((B33&gt;(Inputs!$B$7+Inputs!$B$8)),0,IF((B33&lt;Inputs!$B$7),0,((B33-Inputs!$B$7))))</f>
        <v>14</v>
      </c>
      <c r="B33" s="171">
        <f t="shared" si="9"/>
        <v>2042</v>
      </c>
      <c r="C33" s="210">
        <f>_xlfn.XLOOKUP('DMS Delay Avoidance'!B33,TrafficData!$J$8:$J$48,TrafficData!$K$8:$K$48,)*$C$6</f>
        <v>2974449.9748538081</v>
      </c>
      <c r="D33" s="210">
        <f t="shared" si="5"/>
        <v>128572.23542206705</v>
      </c>
      <c r="E33" s="210">
        <f t="shared" si="6"/>
        <v>411854.21880403551</v>
      </c>
      <c r="F33" s="211">
        <f t="shared" si="0"/>
        <v>646528.75267857488</v>
      </c>
      <c r="G33" s="172">
        <f t="shared" si="7"/>
        <v>12154740.550357208</v>
      </c>
      <c r="H33" s="172">
        <f t="shared" si="1"/>
        <v>2935529</v>
      </c>
      <c r="I33" s="211">
        <f t="shared" si="2"/>
        <v>24711.25312824213</v>
      </c>
      <c r="J33" s="172">
        <f t="shared" si="8"/>
        <v>2183779.0428117872</v>
      </c>
      <c r="K33" s="212">
        <f t="shared" si="3"/>
        <v>527411</v>
      </c>
      <c r="L33" s="213">
        <f t="shared" si="4"/>
        <v>3462940</v>
      </c>
    </row>
    <row r="34" spans="1:12" x14ac:dyDescent="0.3">
      <c r="A34" s="148">
        <f>IF((B34&gt;(Inputs!$B$7+Inputs!$B$8)),0,IF((B34&lt;Inputs!$B$7),0,((B34-Inputs!$B$7))))</f>
        <v>15</v>
      </c>
      <c r="B34" s="171">
        <f t="shared" si="9"/>
        <v>2043</v>
      </c>
      <c r="C34" s="210">
        <f>_xlfn.XLOOKUP('DMS Delay Avoidance'!B34,TrafficData!$J$8:$J$48,TrafficData!$K$8:$K$48,)*$C$6</f>
        <v>3068873.5710218414</v>
      </c>
      <c r="D34" s="210">
        <f t="shared" si="5"/>
        <v>132653.74727755261</v>
      </c>
      <c r="E34" s="210">
        <f t="shared" si="6"/>
        <v>424928.48690913763</v>
      </c>
      <c r="F34" s="211">
        <f t="shared" si="0"/>
        <v>667052.73874996416</v>
      </c>
      <c r="G34" s="172">
        <f t="shared" si="7"/>
        <v>12540591.488499327</v>
      </c>
      <c r="H34" s="172">
        <f t="shared" si="1"/>
        <v>2830577</v>
      </c>
      <c r="I34" s="211">
        <f t="shared" si="2"/>
        <v>25495.709214548257</v>
      </c>
      <c r="J34" s="172">
        <f t="shared" si="8"/>
        <v>2253102.8748486023</v>
      </c>
      <c r="K34" s="212">
        <f t="shared" si="3"/>
        <v>508555</v>
      </c>
      <c r="L34" s="213">
        <f t="shared" si="4"/>
        <v>3339132</v>
      </c>
    </row>
    <row r="35" spans="1:12" x14ac:dyDescent="0.3">
      <c r="A35" s="148">
        <f>IF((B35&gt;(Inputs!$B$7+Inputs!$B$8)),0,IF((B35&lt;Inputs!$B$7),0,((B35-Inputs!$B$7))))</f>
        <v>16</v>
      </c>
      <c r="B35" s="171">
        <f t="shared" si="9"/>
        <v>2044</v>
      </c>
      <c r="C35" s="210">
        <f>_xlfn.XLOOKUP('DMS Delay Avoidance'!B35,TrafficData!$J$8:$J$48,TrafficData!$K$8:$K$48,)*$C$6</f>
        <v>3166294.6341463476</v>
      </c>
      <c r="D35" s="210">
        <f t="shared" si="5"/>
        <v>136864.82629014476</v>
      </c>
      <c r="E35" s="210">
        <f t="shared" si="6"/>
        <v>438417.79625621258</v>
      </c>
      <c r="F35" s="211">
        <f t="shared" si="0"/>
        <v>688228.25656300248</v>
      </c>
      <c r="G35" s="172">
        <f t="shared" si="7"/>
        <v>12938691.223384447</v>
      </c>
      <c r="H35" s="172">
        <f t="shared" si="1"/>
        <v>2729377</v>
      </c>
      <c r="I35" s="211">
        <f t="shared" si="2"/>
        <v>26305.067775372754</v>
      </c>
      <c r="J35" s="172">
        <f t="shared" si="8"/>
        <v>2324627.3845153679</v>
      </c>
      <c r="K35" s="212">
        <f t="shared" si="3"/>
        <v>490373</v>
      </c>
      <c r="L35" s="213">
        <f t="shared" si="4"/>
        <v>3219750</v>
      </c>
    </row>
    <row r="36" spans="1:12" x14ac:dyDescent="0.3">
      <c r="A36" s="148">
        <f>IF((B36&gt;(Inputs!$B$7+Inputs!$B$8)),0,IF((B36&lt;Inputs!$B$7),0,((B36-Inputs!$B$7))))</f>
        <v>17</v>
      </c>
      <c r="B36" s="171">
        <f t="shared" si="9"/>
        <v>2045</v>
      </c>
      <c r="C36" s="210">
        <f>_xlfn.XLOOKUP('DMS Delay Avoidance'!B36,TrafficData!$J$8:$J$48,TrafficData!$K$8:$K$48,)*$C$6</f>
        <v>3266808.318495112</v>
      </c>
      <c r="D36" s="210">
        <f t="shared" si="5"/>
        <v>141209.58555538129</v>
      </c>
      <c r="E36" s="210">
        <f t="shared" si="6"/>
        <v>452335.32228507451</v>
      </c>
      <c r="F36" s="211">
        <f t="shared" si="0"/>
        <v>710075.98892310995</v>
      </c>
      <c r="G36" s="172">
        <f t="shared" si="7"/>
        <v>13349428.591754468</v>
      </c>
      <c r="H36" s="172">
        <f t="shared" si="1"/>
        <v>2631795</v>
      </c>
      <c r="I36" s="211">
        <f t="shared" si="2"/>
        <v>27140.119337104468</v>
      </c>
      <c r="J36" s="172">
        <f t="shared" si="8"/>
        <v>2398422.4320879593</v>
      </c>
      <c r="K36" s="212">
        <f t="shared" si="3"/>
        <v>472841</v>
      </c>
      <c r="L36" s="213">
        <f t="shared" si="4"/>
        <v>3104636</v>
      </c>
    </row>
    <row r="37" spans="1:12" x14ac:dyDescent="0.3">
      <c r="A37" s="148">
        <f>IF((B37&gt;(Inputs!$B$7+Inputs!$B$8)),0,IF((B37&lt;Inputs!$B$7),0,((B37-Inputs!$B$7))))</f>
        <v>18</v>
      </c>
      <c r="B37" s="171">
        <f t="shared" si="9"/>
        <v>2046</v>
      </c>
      <c r="C37" s="210">
        <f>_xlfn.XLOOKUP('DMS Delay Avoidance'!B37,TrafficData!$J$8:$J$48,TrafficData!$K$8:$K$48,)*$C$6</f>
        <v>3370512.7989979703</v>
      </c>
      <c r="D37" s="210">
        <f t="shared" si="5"/>
        <v>145692.26873857787</v>
      </c>
      <c r="E37" s="210">
        <f t="shared" si="6"/>
        <v>466694.65868846531</v>
      </c>
      <c r="F37" s="211">
        <f t="shared" si="0"/>
        <v>732617.27520915284</v>
      </c>
      <c r="G37" s="172">
        <f t="shared" si="7"/>
        <v>13773204.773932073</v>
      </c>
      <c r="H37" s="172">
        <f t="shared" si="1"/>
        <v>2537702</v>
      </c>
      <c r="I37" s="211">
        <f t="shared" si="2"/>
        <v>28001.679521307917</v>
      </c>
      <c r="J37" s="172">
        <f t="shared" si="8"/>
        <v>2474560.0955492374</v>
      </c>
      <c r="K37" s="212">
        <f t="shared" si="3"/>
        <v>455936</v>
      </c>
      <c r="L37" s="213">
        <f t="shared" si="4"/>
        <v>2993638</v>
      </c>
    </row>
    <row r="38" spans="1:12" x14ac:dyDescent="0.3">
      <c r="A38" s="148">
        <f>IF((B38&gt;(Inputs!$B$7+Inputs!$B$8)),0,IF((B38&lt;Inputs!$B$7),0,((B38-Inputs!$B$7))))</f>
        <v>19</v>
      </c>
      <c r="B38" s="171">
        <f t="shared" si="9"/>
        <v>2047</v>
      </c>
      <c r="C38" s="210">
        <f>_xlfn.XLOOKUP('DMS Delay Avoidance'!B38,TrafficData!$J$8:$J$48,TrafficData!$K$8:$K$48,)*$C$6</f>
        <v>3477509.3671374014</v>
      </c>
      <c r="D38" s="210">
        <f t="shared" si="5"/>
        <v>150317.25421975151</v>
      </c>
      <c r="E38" s="210">
        <f t="shared" si="6"/>
        <v>481509.83068944811</v>
      </c>
      <c r="F38" s="211">
        <f t="shared" si="0"/>
        <v>755874.13221629558</v>
      </c>
      <c r="G38" s="172">
        <f t="shared" si="7"/>
        <v>14210433.685666358</v>
      </c>
      <c r="H38" s="172">
        <f t="shared" si="1"/>
        <v>2446973</v>
      </c>
      <c r="I38" s="211">
        <f t="shared" si="2"/>
        <v>28890.589841366884</v>
      </c>
      <c r="J38" s="172">
        <f t="shared" si="8"/>
        <v>2553114.7409899146</v>
      </c>
      <c r="K38" s="212">
        <f t="shared" si="3"/>
        <v>439635</v>
      </c>
      <c r="L38" s="213">
        <f t="shared" si="4"/>
        <v>2886608</v>
      </c>
    </row>
    <row r="39" spans="1:12" x14ac:dyDescent="0.3">
      <c r="A39" s="148">
        <f>IF((B39&gt;(Inputs!$B$7+Inputs!$B$8)),0,IF((B39&lt;Inputs!$B$7),0,((B39-Inputs!$B$7))))</f>
        <v>20</v>
      </c>
      <c r="B39" s="171">
        <f t="shared" si="9"/>
        <v>2048</v>
      </c>
      <c r="C39" s="210">
        <f>_xlfn.XLOOKUP('DMS Delay Avoidance'!B39,TrafficData!$J$8:$J$48,TrafficData!$K$8:$K$48,)*$C$6</f>
        <v>3587902.5298831537</v>
      </c>
      <c r="D39" s="210">
        <f t="shared" ref="D39" si="10">C39*$C$8</f>
        <v>155089.05937012425</v>
      </c>
      <c r="E39" s="210">
        <f t="shared" ref="E39" si="11">SUM(D39*$C$9)</f>
        <v>496795.30874029116</v>
      </c>
      <c r="F39" s="211">
        <f t="shared" ref="F39" si="12">(1-$C$10)*E39*$C$14</f>
        <v>779869.27566050901</v>
      </c>
      <c r="G39" s="323">
        <f>F39*$C$11*Inputs!$B$12</f>
        <v>7330771.1912087854</v>
      </c>
      <c r="H39" s="172">
        <f t="shared" ref="H39" si="13">ROUND($G39/((1+C$3)^($B39-$C$4)),0)</f>
        <v>1179744</v>
      </c>
      <c r="I39" s="211">
        <f t="shared" ref="I39" si="14">SUM(E39*$C$10)</f>
        <v>29807.718524417469</v>
      </c>
      <c r="J39" s="323">
        <f>I39*($C$12+$C$13)*Inputs!$B$12</f>
        <v>1317081.5476221477</v>
      </c>
      <c r="K39" s="212">
        <f t="shared" ref="K39" si="15">ROUND($J39/((1+C$3)^($B39-$C$4)),0)</f>
        <v>211958</v>
      </c>
      <c r="L39" s="213">
        <f t="shared" ref="L39" si="16">SUM(K39,H39)</f>
        <v>1391702</v>
      </c>
    </row>
    <row r="40" spans="1:12" x14ac:dyDescent="0.3">
      <c r="F40" s="145"/>
      <c r="G40" s="145"/>
      <c r="I40" s="145"/>
      <c r="J40" s="145"/>
    </row>
    <row r="41" spans="1:12" x14ac:dyDescent="0.3">
      <c r="E41" s="145"/>
      <c r="F41" s="145"/>
      <c r="G41" s="214"/>
      <c r="H41" s="214">
        <f>SUM(H19:H39)</f>
        <v>69432416</v>
      </c>
      <c r="I41" s="145"/>
      <c r="J41" s="214"/>
      <c r="K41" s="214">
        <f>SUM(K19:K39)</f>
        <v>12474561</v>
      </c>
      <c r="L41" s="214">
        <f>SUM(L19:L39)</f>
        <v>81906977</v>
      </c>
    </row>
  </sheetData>
  <mergeCells count="2">
    <mergeCell ref="F17:H17"/>
    <mergeCell ref="I17:K17"/>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ACEED-1142-451C-8BC0-6EA7F4C6F22E}">
  <dimension ref="A1:AF39"/>
  <sheetViews>
    <sheetView workbookViewId="0">
      <selection activeCell="I8" sqref="I8"/>
    </sheetView>
  </sheetViews>
  <sheetFormatPr defaultColWidth="9.109375" defaultRowHeight="14.4" x14ac:dyDescent="0.3"/>
  <cols>
    <col min="1" max="1" width="37.5546875" style="148" customWidth="1"/>
    <col min="2" max="2" width="10.33203125" style="3" customWidth="1"/>
    <col min="3" max="3" width="14" style="3" customWidth="1"/>
    <col min="4" max="4" width="13.33203125" style="3" customWidth="1"/>
    <col min="5" max="5" width="14.5546875" style="3" customWidth="1"/>
    <col min="6" max="6" width="11.33203125" style="3" customWidth="1"/>
    <col min="7" max="7" width="12.5546875" style="3" customWidth="1"/>
    <col min="8" max="8" width="15" style="3" customWidth="1"/>
    <col min="9" max="9" width="17.33203125" style="3" customWidth="1"/>
    <col min="10" max="10" width="18.33203125" style="3" customWidth="1"/>
    <col min="11" max="11" width="14.5546875" style="3" customWidth="1"/>
    <col min="12" max="12" width="15.6640625" style="3" customWidth="1"/>
    <col min="13" max="13" width="18" style="3" customWidth="1"/>
    <col min="14" max="14" width="17.33203125" style="3" customWidth="1"/>
    <col min="15" max="15" width="18.33203125" style="3" customWidth="1"/>
    <col min="16" max="16" width="14.5546875" style="3" customWidth="1"/>
    <col min="17" max="17" width="15.6640625" style="3" customWidth="1"/>
    <col min="18" max="18" width="18" style="3" customWidth="1"/>
    <col min="19" max="19" width="17.33203125" style="3" customWidth="1"/>
    <col min="20" max="20" width="18.33203125" style="3" customWidth="1"/>
    <col min="21" max="21" width="14.5546875" style="3" customWidth="1"/>
    <col min="22" max="22" width="15.6640625" style="3" customWidth="1"/>
    <col min="23" max="23" width="18" style="3" customWidth="1"/>
    <col min="24" max="24" width="17.33203125" style="3" customWidth="1"/>
    <col min="25" max="25" width="18.33203125" style="3" customWidth="1"/>
    <col min="26" max="26" width="14.5546875" style="3" customWidth="1"/>
    <col min="27" max="27" width="15.6640625" style="3" customWidth="1"/>
    <col min="28" max="28" width="18" style="3" customWidth="1"/>
    <col min="29" max="29" width="17.33203125" style="3" customWidth="1"/>
    <col min="30" max="30" width="18.33203125" style="3" customWidth="1"/>
    <col min="31" max="31" width="14.5546875" style="3" customWidth="1"/>
    <col min="32" max="32" width="15.6640625" style="3" customWidth="1"/>
    <col min="33" max="33" width="18" style="3" customWidth="1"/>
    <col min="34" max="34" width="17.33203125" style="3" customWidth="1"/>
    <col min="35" max="35" width="18.33203125" style="3" customWidth="1"/>
    <col min="36" max="36" width="14.5546875" style="3" customWidth="1"/>
    <col min="37" max="37" width="15.6640625" style="3" customWidth="1"/>
    <col min="38" max="38" width="18" style="3" customWidth="1"/>
    <col min="39" max="39" width="17.33203125" style="3" customWidth="1"/>
    <col min="40" max="40" width="18.33203125" style="3" customWidth="1"/>
    <col min="41" max="41" width="14.5546875" style="3" customWidth="1"/>
    <col min="42" max="42" width="15.6640625" style="3" customWidth="1"/>
    <col min="43" max="43" width="18" style="3" customWidth="1"/>
    <col min="44" max="44" width="17.33203125" style="3" customWidth="1"/>
    <col min="45" max="45" width="18.33203125" style="3" customWidth="1"/>
    <col min="46" max="46" width="14.5546875" style="3" customWidth="1"/>
    <col min="47" max="47" width="15.6640625" style="3" customWidth="1"/>
    <col min="48" max="48" width="18" style="3" customWidth="1"/>
    <col min="49" max="49" width="17.33203125" style="3" customWidth="1"/>
    <col min="50" max="50" width="18.33203125" style="3" customWidth="1"/>
    <col min="51" max="51" width="14.5546875" style="3" customWidth="1"/>
    <col min="52" max="52" width="15.6640625" style="3" customWidth="1"/>
    <col min="53" max="16384" width="9.109375" style="3"/>
  </cols>
  <sheetData>
    <row r="1" spans="1:32" x14ac:dyDescent="0.3">
      <c r="A1" s="5" t="s">
        <v>21</v>
      </c>
    </row>
    <row r="2" spans="1:32" x14ac:dyDescent="0.3">
      <c r="A2" s="3" t="s">
        <v>251</v>
      </c>
    </row>
    <row r="4" spans="1:32" x14ac:dyDescent="0.3">
      <c r="A4" s="215" t="str">
        <f>Inputs!A3</f>
        <v xml:space="preserve">Discount Rate </v>
      </c>
      <c r="B4" s="215">
        <f>Inputs!B3</f>
        <v>7.0000000000000007E-2</v>
      </c>
    </row>
    <row r="5" spans="1:32" x14ac:dyDescent="0.3">
      <c r="A5" s="141" t="str">
        <f>Inputs!A10</f>
        <v>Discount year</v>
      </c>
      <c r="B5" s="141">
        <f>Inputs!B10</f>
        <v>2021</v>
      </c>
    </row>
    <row r="6" spans="1:32" x14ac:dyDescent="0.3">
      <c r="A6" s="141" t="str">
        <f>Inputs!A11</f>
        <v>Benefit Year</v>
      </c>
      <c r="B6" s="141">
        <f>Inputs!B11</f>
        <v>2028</v>
      </c>
      <c r="D6" s="216"/>
    </row>
    <row r="7" spans="1:32" x14ac:dyDescent="0.3">
      <c r="A7" s="158" t="str">
        <f>Inputs!A32</f>
        <v>Value of Time (2021$), all purposes</v>
      </c>
      <c r="B7" s="204">
        <f>Inputs!B32</f>
        <v>18.8</v>
      </c>
    </row>
    <row r="8" spans="1:32" x14ac:dyDescent="0.3">
      <c r="A8" s="158" t="str">
        <f>Inputs!A35</f>
        <v>Value of Time (2021$), bus driver</v>
      </c>
      <c r="B8" s="204">
        <f>Inputs!B35</f>
        <v>35</v>
      </c>
    </row>
    <row r="9" spans="1:32" ht="28.8" x14ac:dyDescent="0.3">
      <c r="A9" s="217" t="str">
        <f>Inputs!A20</f>
        <v>Average Corridor Travel Time Savings (hr per veh)</v>
      </c>
      <c r="B9" s="218">
        <f>Inputs!B20</f>
        <v>0.11666666666666667</v>
      </c>
    </row>
    <row r="10" spans="1:32" x14ac:dyDescent="0.3">
      <c r="A10" s="217" t="s">
        <v>252</v>
      </c>
      <c r="B10" s="442">
        <f>Inputs!B38*12</f>
        <v>2592</v>
      </c>
    </row>
    <row r="11" spans="1:32" x14ac:dyDescent="0.3">
      <c r="A11" s="141" t="str">
        <f>Inputs!A37</f>
        <v>Average Annual paratransit bus passengers</v>
      </c>
      <c r="B11" s="219">
        <f>Inputs!B37</f>
        <v>18060</v>
      </c>
    </row>
    <row r="12" spans="1:32" x14ac:dyDescent="0.3">
      <c r="A12" s="141"/>
      <c r="B12" s="141"/>
    </row>
    <row r="13" spans="1:32" x14ac:dyDescent="0.3">
      <c r="A13" s="141" t="str">
        <f>Inputs!A17</f>
        <v>Annual Growth Rate (CAGR)</v>
      </c>
      <c r="B13" s="220">
        <f>Inputs!B17</f>
        <v>3.1744892994098661E-2</v>
      </c>
      <c r="AE13" s="168"/>
      <c r="AF13" s="168"/>
    </row>
    <row r="14" spans="1:32" x14ac:dyDescent="0.3">
      <c r="B14" s="148"/>
      <c r="AE14" s="168"/>
      <c r="AF14" s="168"/>
    </row>
    <row r="15" spans="1:32" x14ac:dyDescent="0.3">
      <c r="B15" s="3" t="s">
        <v>21</v>
      </c>
      <c r="E15" s="168"/>
    </row>
    <row r="16" spans="1:32" ht="57.6" x14ac:dyDescent="0.3">
      <c r="A16" s="18" t="s">
        <v>132</v>
      </c>
      <c r="B16" s="18" t="s">
        <v>133</v>
      </c>
      <c r="C16" s="18" t="s">
        <v>253</v>
      </c>
      <c r="D16" s="18" t="s">
        <v>254</v>
      </c>
      <c r="E16" s="18" t="s">
        <v>255</v>
      </c>
      <c r="F16" s="170" t="s">
        <v>256</v>
      </c>
      <c r="G16" s="170" t="s">
        <v>257</v>
      </c>
      <c r="H16" s="18" t="s">
        <v>222</v>
      </c>
    </row>
    <row r="17" spans="1:8" x14ac:dyDescent="0.3">
      <c r="A17" s="194">
        <f>IF((B17&gt;(Inputs!$B$7+Inputs!$B$8)),0,IF((B17&lt;Inputs!$B$7),0,((B17-Inputs!$B$7))))</f>
        <v>0</v>
      </c>
      <c r="B17" s="171">
        <f>B6</f>
        <v>2028</v>
      </c>
      <c r="C17" s="210">
        <f>$B$11*$B$9</f>
        <v>2107</v>
      </c>
      <c r="D17" s="210">
        <f>B10*B9</f>
        <v>302.39999999999998</v>
      </c>
      <c r="E17" s="172">
        <f t="shared" ref="E17:E36" si="0">C17*$B$7</f>
        <v>39611.599999999999</v>
      </c>
      <c r="F17" s="172">
        <f>SUM(D17*$B$8)</f>
        <v>10584</v>
      </c>
      <c r="G17" s="349">
        <f>SUM(E17:F17)*Inputs!$B$12</f>
        <v>25097.8</v>
      </c>
      <c r="H17" s="172">
        <f>ROUND($G17/((1+B$4)^($B17-$B$5)),0)</f>
        <v>15630</v>
      </c>
    </row>
    <row r="18" spans="1:8" x14ac:dyDescent="0.3">
      <c r="A18" s="194">
        <f>IF((B18&gt;(Inputs!$B$7+Inputs!$B$8)),0,IF((B18&lt;Inputs!$B$7),0,((B18-Inputs!$B$7))))</f>
        <v>1</v>
      </c>
      <c r="B18" s="171">
        <f>B17+1</f>
        <v>2029</v>
      </c>
      <c r="C18" s="210">
        <f>C17*(1+$B$13)</f>
        <v>2173.8864895385659</v>
      </c>
      <c r="D18" s="210">
        <f>D17*(1+$B$13)</f>
        <v>311.99965564141542</v>
      </c>
      <c r="E18" s="172">
        <f t="shared" si="0"/>
        <v>40869.066003325039</v>
      </c>
      <c r="F18" s="172">
        <f t="shared" ref="F18:F36" si="1">SUM(D18*$B$8)</f>
        <v>10919.987947449539</v>
      </c>
      <c r="G18" s="213">
        <f t="shared" ref="G18:G36" si="2">SUM(E18:F18)</f>
        <v>51789.053950774578</v>
      </c>
      <c r="H18" s="172">
        <f t="shared" ref="H18:H36" si="3">ROUND($G18/((1+B$4)^($B18-$B$5)),0)</f>
        <v>30142</v>
      </c>
    </row>
    <row r="19" spans="1:8" x14ac:dyDescent="0.3">
      <c r="A19" s="194">
        <f>IF((B19&gt;(Inputs!$B$7+Inputs!$B$8)),0,IF((B19&lt;Inputs!$B$7),0,((B19-Inputs!$B$7))))</f>
        <v>2</v>
      </c>
      <c r="B19" s="171">
        <f t="shared" ref="B19:B37" si="4">B18+1</f>
        <v>2030</v>
      </c>
      <c r="C19" s="210">
        <f t="shared" ref="C19:C37" si="5">C18*(1+$B$13)</f>
        <v>2242.8962835302846</v>
      </c>
      <c r="D19" s="210">
        <f t="shared" ref="D19:D37" si="6">D18*(1+$B$13)</f>
        <v>321.90405132394778</v>
      </c>
      <c r="E19" s="172">
        <f t="shared" si="0"/>
        <v>42166.450130369354</v>
      </c>
      <c r="F19" s="172">
        <f t="shared" si="1"/>
        <v>11266.641796338172</v>
      </c>
      <c r="G19" s="213">
        <f t="shared" si="2"/>
        <v>53433.091926707522</v>
      </c>
      <c r="H19" s="172">
        <f t="shared" si="3"/>
        <v>29064</v>
      </c>
    </row>
    <row r="20" spans="1:8" x14ac:dyDescent="0.3">
      <c r="A20" s="194">
        <f>IF((B20&gt;(Inputs!$B$7+Inputs!$B$8)),0,IF((B20&lt;Inputs!$B$7),0,((B20-Inputs!$B$7))))</f>
        <v>3</v>
      </c>
      <c r="B20" s="171">
        <f t="shared" si="4"/>
        <v>2031</v>
      </c>
      <c r="C20" s="210">
        <f t="shared" si="5"/>
        <v>2314.0967860478149</v>
      </c>
      <c r="D20" s="210">
        <f t="shared" si="6"/>
        <v>332.12286098759336</v>
      </c>
      <c r="E20" s="172">
        <f t="shared" si="0"/>
        <v>43505.01957769892</v>
      </c>
      <c r="F20" s="172">
        <f t="shared" si="1"/>
        <v>11624.300134565767</v>
      </c>
      <c r="G20" s="213">
        <f t="shared" si="2"/>
        <v>55129.319712264689</v>
      </c>
      <c r="H20" s="172">
        <f t="shared" si="3"/>
        <v>28025</v>
      </c>
    </row>
    <row r="21" spans="1:8" x14ac:dyDescent="0.3">
      <c r="A21" s="194">
        <f>IF((B21&gt;(Inputs!$B$7+Inputs!$B$8)),0,IF((B21&lt;Inputs!$B$7),0,((B21-Inputs!$B$7))))</f>
        <v>4</v>
      </c>
      <c r="B21" s="171">
        <f>B20+1</f>
        <v>2032</v>
      </c>
      <c r="C21" s="210">
        <f t="shared" si="5"/>
        <v>2387.5575408988902</v>
      </c>
      <c r="D21" s="210">
        <f t="shared" si="6"/>
        <v>342.66606567053839</v>
      </c>
      <c r="E21" s="172">
        <f t="shared" si="0"/>
        <v>44886.081768899137</v>
      </c>
      <c r="F21" s="172">
        <f t="shared" si="1"/>
        <v>11993.312298468843</v>
      </c>
      <c r="G21" s="213">
        <f t="shared" si="2"/>
        <v>56879.394067367983</v>
      </c>
      <c r="H21" s="172">
        <f t="shared" si="3"/>
        <v>27023</v>
      </c>
    </row>
    <row r="22" spans="1:8" x14ac:dyDescent="0.3">
      <c r="A22" s="194">
        <f>IF((B22&gt;(Inputs!$B$7+Inputs!$B$8)),0,IF((B22&lt;Inputs!$B$7),0,((B22-Inputs!$B$7))))</f>
        <v>5</v>
      </c>
      <c r="B22" s="171">
        <f>B21+1</f>
        <v>2033</v>
      </c>
      <c r="C22" s="210">
        <f t="shared" si="5"/>
        <v>2463.3502995519789</v>
      </c>
      <c r="D22" s="210">
        <f t="shared" si="6"/>
        <v>353.54396325795841</v>
      </c>
      <c r="E22" s="172">
        <f t="shared" si="0"/>
        <v>46310.985631577205</v>
      </c>
      <c r="F22" s="172">
        <f t="shared" si="1"/>
        <v>12374.038714028544</v>
      </c>
      <c r="G22" s="213">
        <f t="shared" si="2"/>
        <v>58685.024345605751</v>
      </c>
      <c r="H22" s="172">
        <f t="shared" si="3"/>
        <v>26057</v>
      </c>
    </row>
    <row r="23" spans="1:8" x14ac:dyDescent="0.3">
      <c r="A23" s="194">
        <f>IF((B23&gt;(Inputs!$B$7+Inputs!$B$8)),0,IF((B23&lt;Inputs!$B$7),0,((B23-Inputs!$B$7))))</f>
        <v>6</v>
      </c>
      <c r="B23" s="171">
        <f t="shared" si="4"/>
        <v>2034</v>
      </c>
      <c r="C23" s="210">
        <f t="shared" si="5"/>
        <v>2541.5490912182372</v>
      </c>
      <c r="D23" s="210">
        <f t="shared" si="6"/>
        <v>364.76717854029187</v>
      </c>
      <c r="E23" s="172">
        <f t="shared" si="0"/>
        <v>47781.122914902859</v>
      </c>
      <c r="F23" s="172">
        <f t="shared" si="1"/>
        <v>12766.851248910216</v>
      </c>
      <c r="G23" s="213">
        <f t="shared" si="2"/>
        <v>60547.974163813073</v>
      </c>
      <c r="H23" s="172">
        <f t="shared" si="3"/>
        <v>25125</v>
      </c>
    </row>
    <row r="24" spans="1:8" x14ac:dyDescent="0.3">
      <c r="A24" s="194">
        <f>IF((B24&gt;(Inputs!$B$7+Inputs!$B$8)),0,IF((B24&lt;Inputs!$B$7),0,((B24-Inputs!$B$7))))</f>
        <v>7</v>
      </c>
      <c r="B24" s="171">
        <f t="shared" si="4"/>
        <v>2035</v>
      </c>
      <c r="C24" s="210">
        <f t="shared" si="5"/>
        <v>2622.2302951582087</v>
      </c>
      <c r="D24" s="210">
        <f t="shared" si="6"/>
        <v>376.34667359081271</v>
      </c>
      <c r="E24" s="172">
        <f t="shared" si="0"/>
        <v>49297.929548974324</v>
      </c>
      <c r="F24" s="172">
        <f t="shared" si="1"/>
        <v>13172.133575678445</v>
      </c>
      <c r="G24" s="213">
        <f t="shared" si="2"/>
        <v>62470.06312465277</v>
      </c>
      <c r="H24" s="172">
        <f t="shared" si="3"/>
        <v>24227</v>
      </c>
    </row>
    <row r="25" spans="1:8" x14ac:dyDescent="0.3">
      <c r="A25" s="194">
        <f>IF((B25&gt;(Inputs!$B$7+Inputs!$B$8)),0,IF((B25&lt;Inputs!$B$7),0,((B25-Inputs!$B$7))))</f>
        <v>8</v>
      </c>
      <c r="B25" s="171">
        <f t="shared" si="4"/>
        <v>2036</v>
      </c>
      <c r="C25" s="210">
        <f t="shared" si="5"/>
        <v>2705.47271528389</v>
      </c>
      <c r="D25" s="210">
        <f t="shared" si="6"/>
        <v>388.29375847263805</v>
      </c>
      <c r="E25" s="172">
        <f t="shared" si="0"/>
        <v>50862.887047337135</v>
      </c>
      <c r="F25" s="172">
        <f t="shared" si="1"/>
        <v>13590.281546542332</v>
      </c>
      <c r="G25" s="213">
        <f t="shared" si="2"/>
        <v>64453.168593879469</v>
      </c>
      <c r="H25" s="172">
        <f t="shared" si="3"/>
        <v>23361</v>
      </c>
    </row>
    <row r="26" spans="1:8" x14ac:dyDescent="0.3">
      <c r="A26" s="194">
        <f>IF((B26&gt;(Inputs!$B$7+Inputs!$B$8)),0,IF((B26&lt;Inputs!$B$7),0,((B26-Inputs!$B$7))))</f>
        <v>9</v>
      </c>
      <c r="B26" s="171">
        <f t="shared" si="4"/>
        <v>2037</v>
      </c>
      <c r="C26" s="210">
        <f t="shared" si="5"/>
        <v>2791.3576571290305</v>
      </c>
      <c r="D26" s="210">
        <f t="shared" si="6"/>
        <v>400.62010228562832</v>
      </c>
      <c r="E26" s="172">
        <f t="shared" si="0"/>
        <v>52477.523954025775</v>
      </c>
      <c r="F26" s="172">
        <f t="shared" si="1"/>
        <v>14021.703579996991</v>
      </c>
      <c r="G26" s="213">
        <f t="shared" si="2"/>
        <v>66499.227534022764</v>
      </c>
      <c r="H26" s="172">
        <f t="shared" si="3"/>
        <v>22526</v>
      </c>
    </row>
    <row r="27" spans="1:8" x14ac:dyDescent="0.3">
      <c r="A27" s="194">
        <f>IF((B27&gt;(Inputs!$B$7+Inputs!$B$8)),0,IF((B27&lt;Inputs!$B$7),0,((B27-Inputs!$B$7))))</f>
        <v>10</v>
      </c>
      <c r="B27" s="171">
        <f t="shared" si="4"/>
        <v>2038</v>
      </c>
      <c r="C27" s="210">
        <f t="shared" si="5"/>
        <v>2879.9690072628496</v>
      </c>
      <c r="D27" s="210">
        <f t="shared" si="6"/>
        <v>413.33774456397043</v>
      </c>
      <c r="E27" s="172">
        <f t="shared" si="0"/>
        <v>54143.417336541577</v>
      </c>
      <c r="F27" s="172">
        <f t="shared" si="1"/>
        <v>14466.821059738964</v>
      </c>
      <c r="G27" s="213">
        <f t="shared" si="2"/>
        <v>68610.238396280547</v>
      </c>
      <c r="H27" s="172">
        <f t="shared" si="3"/>
        <v>21720</v>
      </c>
    </row>
    <row r="28" spans="1:8" x14ac:dyDescent="0.3">
      <c r="A28" s="194">
        <f>IF((B28&gt;(Inputs!$B$7+Inputs!$B$8)),0,IF((B28&lt;Inputs!$B$7),0,((B28-Inputs!$B$7))))</f>
        <v>11</v>
      </c>
      <c r="B28" s="171">
        <f t="shared" si="4"/>
        <v>2039</v>
      </c>
      <c r="C28" s="210">
        <f t="shared" si="5"/>
        <v>2971.3933152247291</v>
      </c>
      <c r="D28" s="210">
        <f t="shared" si="6"/>
        <v>426.45910703557576</v>
      </c>
      <c r="E28" s="172">
        <f t="shared" si="0"/>
        <v>55862.194326224911</v>
      </c>
      <c r="F28" s="172">
        <f t="shared" si="1"/>
        <v>14926.068746245151</v>
      </c>
      <c r="G28" s="213">
        <f t="shared" si="2"/>
        <v>70788.263072470058</v>
      </c>
      <c r="H28" s="172">
        <f t="shared" si="3"/>
        <v>20944</v>
      </c>
    </row>
    <row r="29" spans="1:8" x14ac:dyDescent="0.3">
      <c r="A29" s="194">
        <f>IF((B29&gt;(Inputs!$B$7+Inputs!$B$8)),0,IF((B29&lt;Inputs!$B$7),0,((B29-Inputs!$B$7))))</f>
        <v>12</v>
      </c>
      <c r="B29" s="171">
        <f t="shared" si="4"/>
        <v>2040</v>
      </c>
      <c r="C29" s="210">
        <f t="shared" si="5"/>
        <v>3065.7198780599183</v>
      </c>
      <c r="D29" s="210">
        <f t="shared" si="6"/>
        <v>439.99700575477897</v>
      </c>
      <c r="E29" s="172">
        <f t="shared" si="0"/>
        <v>57635.533707526469</v>
      </c>
      <c r="F29" s="172">
        <f t="shared" si="1"/>
        <v>15399.895201417265</v>
      </c>
      <c r="G29" s="213">
        <f t="shared" si="2"/>
        <v>73035.428908943737</v>
      </c>
      <c r="H29" s="172">
        <f t="shared" si="3"/>
        <v>20195</v>
      </c>
    </row>
    <row r="30" spans="1:8" x14ac:dyDescent="0.3">
      <c r="A30" s="194">
        <f>IF((B30&gt;(Inputs!$B$7+Inputs!$B$8)),0,IF((B30&lt;Inputs!$B$7),0,((B30-Inputs!$B$7))))</f>
        <v>13</v>
      </c>
      <c r="B30" s="171">
        <f t="shared" si="4"/>
        <v>2041</v>
      </c>
      <c r="C30" s="210">
        <f t="shared" si="5"/>
        <v>3163.0408275388118</v>
      </c>
      <c r="D30" s="210">
        <f t="shared" si="6"/>
        <v>453.96466362018822</v>
      </c>
      <c r="E30" s="172">
        <f t="shared" si="0"/>
        <v>59465.167557729663</v>
      </c>
      <c r="F30" s="172">
        <f t="shared" si="1"/>
        <v>15888.763226706587</v>
      </c>
      <c r="G30" s="213">
        <f t="shared" si="2"/>
        <v>75353.930784436248</v>
      </c>
      <c r="H30" s="172">
        <f t="shared" si="3"/>
        <v>19473</v>
      </c>
    </row>
    <row r="31" spans="1:8" x14ac:dyDescent="0.3">
      <c r="A31" s="194">
        <f>IF((B31&gt;(Inputs!$B$7+Inputs!$B$8)),0,IF((B31&lt;Inputs!$B$7),0,((B31-Inputs!$B$7))))</f>
        <v>14</v>
      </c>
      <c r="B31" s="171">
        <f t="shared" si="4"/>
        <v>2042</v>
      </c>
      <c r="C31" s="210">
        <f t="shared" si="5"/>
        <v>3263.4512201449966</v>
      </c>
      <c r="D31" s="210">
        <f t="shared" si="6"/>
        <v>468.37572328991308</v>
      </c>
      <c r="E31" s="172">
        <f t="shared" si="0"/>
        <v>61352.882938725939</v>
      </c>
      <c r="F31" s="172">
        <f t="shared" si="1"/>
        <v>16393.150315146959</v>
      </c>
      <c r="G31" s="213">
        <f t="shared" si="2"/>
        <v>77746.033253872898</v>
      </c>
      <c r="H31" s="172">
        <f t="shared" si="3"/>
        <v>18777</v>
      </c>
    </row>
    <row r="32" spans="1:8" x14ac:dyDescent="0.3">
      <c r="A32" s="194">
        <f>IF((B32&gt;(Inputs!$B$7+Inputs!$B$8)),0,IF((B32&lt;Inputs!$B$7),0,((B32-Inputs!$B$7))))</f>
        <v>15</v>
      </c>
      <c r="B32" s="171">
        <f t="shared" si="4"/>
        <v>2043</v>
      </c>
      <c r="C32" s="210">
        <f t="shared" si="5"/>
        <v>3367.0491299199603</v>
      </c>
      <c r="D32" s="210">
        <f t="shared" si="6"/>
        <v>483.24426050678494</v>
      </c>
      <c r="E32" s="172">
        <f t="shared" si="0"/>
        <v>63300.523642495253</v>
      </c>
      <c r="F32" s="172">
        <f t="shared" si="1"/>
        <v>16913.549117737472</v>
      </c>
      <c r="G32" s="213">
        <f t="shared" si="2"/>
        <v>80214.072760232724</v>
      </c>
      <c r="H32" s="172">
        <f t="shared" si="3"/>
        <v>18105</v>
      </c>
    </row>
    <row r="33" spans="1:8" x14ac:dyDescent="0.3">
      <c r="A33" s="194">
        <f>IF((B33&gt;(Inputs!$B$7+Inputs!$B$8)),0,IF((B33&lt;Inputs!$B$7),0,((B33-Inputs!$B$7))))</f>
        <v>16</v>
      </c>
      <c r="B33" s="171">
        <f t="shared" si="4"/>
        <v>2044</v>
      </c>
      <c r="C33" s="210">
        <f t="shared" si="5"/>
        <v>3473.9357442551423</v>
      </c>
      <c r="D33" s="210">
        <f t="shared" si="6"/>
        <v>498.58479784658516</v>
      </c>
      <c r="E33" s="172">
        <f t="shared" si="0"/>
        <v>65309.991991996678</v>
      </c>
      <c r="F33" s="172">
        <f t="shared" si="1"/>
        <v>17450.46792463048</v>
      </c>
      <c r="G33" s="213">
        <f t="shared" si="2"/>
        <v>82760.459916627151</v>
      </c>
      <c r="H33" s="172">
        <f t="shared" si="3"/>
        <v>17458</v>
      </c>
    </row>
    <row r="34" spans="1:8" x14ac:dyDescent="0.3">
      <c r="A34" s="194">
        <f>IF((B34&gt;(Inputs!$B$7+Inputs!$B$8)),0,IF((B34&lt;Inputs!$B$7),0,((B34-Inputs!$B$7))))</f>
        <v>17</v>
      </c>
      <c r="B34" s="171">
        <f t="shared" si="4"/>
        <v>2045</v>
      </c>
      <c r="C34" s="210">
        <f t="shared" si="5"/>
        <v>3584.215462724896</v>
      </c>
      <c r="D34" s="210">
        <f t="shared" si="6"/>
        <v>514.41231890270933</v>
      </c>
      <c r="E34" s="172">
        <f t="shared" si="0"/>
        <v>67383.250699228054</v>
      </c>
      <c r="F34" s="172">
        <f t="shared" si="1"/>
        <v>18004.431161594828</v>
      </c>
      <c r="G34" s="213">
        <f t="shared" si="2"/>
        <v>85387.681860822879</v>
      </c>
      <c r="H34" s="172">
        <f t="shared" si="3"/>
        <v>16834</v>
      </c>
    </row>
    <row r="35" spans="1:8" x14ac:dyDescent="0.3">
      <c r="A35" s="194">
        <f>IF((B35&gt;(Inputs!$B$7+Inputs!$B$8)),0,IF((B35&lt;Inputs!$B$7),0,((B35-Inputs!$B$7))))</f>
        <v>18</v>
      </c>
      <c r="B35" s="171">
        <f t="shared" si="4"/>
        <v>2046</v>
      </c>
      <c r="C35" s="210">
        <f t="shared" si="5"/>
        <v>3697.9959990568918</v>
      </c>
      <c r="D35" s="210">
        <f t="shared" si="6"/>
        <v>530.74228292112196</v>
      </c>
      <c r="E35" s="172">
        <f t="shared" si="0"/>
        <v>69522.32478226957</v>
      </c>
      <c r="F35" s="172">
        <f t="shared" si="1"/>
        <v>18575.979902239269</v>
      </c>
      <c r="G35" s="213">
        <f t="shared" si="2"/>
        <v>88098.304684508839</v>
      </c>
      <c r="H35" s="172">
        <f t="shared" si="3"/>
        <v>16232</v>
      </c>
    </row>
    <row r="36" spans="1:8" x14ac:dyDescent="0.3">
      <c r="A36" s="194">
        <f>IF((B36&gt;(Inputs!$B$7+Inputs!$B$8)),0,IF((B36&lt;Inputs!$B$7),0,((B36-Inputs!$B$7))))</f>
        <v>19</v>
      </c>
      <c r="B36" s="171">
        <f t="shared" si="4"/>
        <v>2047</v>
      </c>
      <c r="C36" s="210">
        <f t="shared" si="5"/>
        <v>3815.3884863395579</v>
      </c>
      <c r="D36" s="210">
        <f t="shared" si="6"/>
        <v>547.59063989989659</v>
      </c>
      <c r="E36" s="172">
        <f t="shared" si="0"/>
        <v>71729.303543183691</v>
      </c>
      <c r="F36" s="172">
        <f t="shared" si="1"/>
        <v>19165.672396496382</v>
      </c>
      <c r="G36" s="213">
        <f t="shared" si="2"/>
        <v>90894.975939680065</v>
      </c>
      <c r="H36" s="172">
        <f t="shared" si="3"/>
        <v>15652</v>
      </c>
    </row>
    <row r="37" spans="1:8" x14ac:dyDescent="0.3">
      <c r="A37" s="194">
        <f>IF((B37&gt;(Inputs!$B$7+Inputs!$B$8)),0,IF((B37&lt;Inputs!$B$7),0,((B37-Inputs!$B$7))))</f>
        <v>20</v>
      </c>
      <c r="B37" s="171">
        <f t="shared" si="4"/>
        <v>2048</v>
      </c>
      <c r="C37" s="210">
        <f t="shared" si="5"/>
        <v>3936.5075855693231</v>
      </c>
      <c r="D37" s="210">
        <f t="shared" si="6"/>
        <v>564.97384616808881</v>
      </c>
      <c r="E37" s="172">
        <f t="shared" ref="E37" si="7">C37*$B$7</f>
        <v>74006.342608703271</v>
      </c>
      <c r="F37" s="172">
        <f t="shared" ref="F37" si="8">SUM(D37*$B$8)</f>
        <v>19774.084615883108</v>
      </c>
      <c r="G37" s="349">
        <f>SUM(E37:F37)*Inputs!$B$12</f>
        <v>46890.213612293192</v>
      </c>
      <c r="H37" s="172">
        <f t="shared" ref="H37" si="9">ROUND($G37/((1+B$4)^($B37-$B$5)),0)</f>
        <v>7546</v>
      </c>
    </row>
    <row r="38" spans="1:8" x14ac:dyDescent="0.3">
      <c r="A38" s="194"/>
      <c r="B38" s="171"/>
      <c r="C38" s="221" t="s">
        <v>228</v>
      </c>
      <c r="D38" s="221"/>
      <c r="E38" s="198">
        <f>SUM(E17:E37)</f>
        <v>1157479.5997117348</v>
      </c>
      <c r="F38" s="198">
        <f>SUM(F17:F37)</f>
        <v>309272.13450981537</v>
      </c>
      <c r="G38" s="198">
        <f t="shared" ref="G38" si="10">SUM(G17:G37)</f>
        <v>1394763.720609257</v>
      </c>
      <c r="H38" s="198">
        <f>SUM(H17:H37)</f>
        <v>444116</v>
      </c>
    </row>
    <row r="39" spans="1:8" x14ac:dyDescent="0.3">
      <c r="D39" s="5"/>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03034-1ECC-48B7-A501-8259E2A4FEC3}">
  <dimension ref="A1:R40"/>
  <sheetViews>
    <sheetView zoomScaleNormal="100" workbookViewId="0">
      <selection activeCell="K17" sqref="K17"/>
    </sheetView>
  </sheetViews>
  <sheetFormatPr defaultColWidth="9.109375" defaultRowHeight="14.4" x14ac:dyDescent="0.3"/>
  <cols>
    <col min="1" max="1" width="9.109375" style="3"/>
    <col min="2" max="2" width="25.5546875" style="3" customWidth="1"/>
    <col min="3" max="3" width="13" style="3" customWidth="1"/>
    <col min="4" max="4" width="11.33203125" style="3" customWidth="1"/>
    <col min="5" max="5" width="18.6640625" style="3" customWidth="1"/>
    <col min="6" max="8" width="11.33203125" style="3" customWidth="1"/>
    <col min="9" max="9" width="13.6640625" style="3" bestFit="1" customWidth="1"/>
    <col min="10" max="10" width="11.6640625" style="3" customWidth="1"/>
    <col min="11" max="16384" width="9.109375" style="3"/>
  </cols>
  <sheetData>
    <row r="1" spans="2:18" x14ac:dyDescent="0.3">
      <c r="B1" s="5" t="s">
        <v>16</v>
      </c>
    </row>
    <row r="2" spans="2:18" x14ac:dyDescent="0.3">
      <c r="B2" s="3" t="s">
        <v>258</v>
      </c>
    </row>
    <row r="4" spans="2:18" x14ac:dyDescent="0.3">
      <c r="B4" s="3" t="str">
        <f>Inputs!A3</f>
        <v xml:space="preserve">Discount Rate </v>
      </c>
      <c r="C4" s="168">
        <f>Inputs!B3</f>
        <v>7.0000000000000007E-2</v>
      </c>
      <c r="E4" s="3" t="s">
        <v>259</v>
      </c>
      <c r="F4" s="3">
        <f>Q5</f>
        <v>1</v>
      </c>
      <c r="M4" s="3" t="s">
        <v>260</v>
      </c>
      <c r="O4" s="3" t="s">
        <v>261</v>
      </c>
      <c r="Q4" s="3" t="s">
        <v>262</v>
      </c>
    </row>
    <row r="5" spans="2:18" x14ac:dyDescent="0.3">
      <c r="B5" s="3" t="str">
        <f>Inputs!A10</f>
        <v>Discount year</v>
      </c>
      <c r="C5" s="3">
        <f>Inputs!B10</f>
        <v>2021</v>
      </c>
      <c r="E5" s="3" t="s">
        <v>263</v>
      </c>
      <c r="F5" s="168">
        <v>0.4</v>
      </c>
      <c r="G5" s="3" t="s">
        <v>88</v>
      </c>
      <c r="M5" s="3">
        <v>4</v>
      </c>
      <c r="N5" s="3" t="s">
        <v>264</v>
      </c>
      <c r="O5" s="3">
        <v>5</v>
      </c>
      <c r="Q5" s="3">
        <f>O5-M5</f>
        <v>1</v>
      </c>
      <c r="R5" s="3" t="s">
        <v>265</v>
      </c>
    </row>
    <row r="6" spans="2:18" x14ac:dyDescent="0.3">
      <c r="B6" s="3" t="str">
        <f>Inputs!A11</f>
        <v>Benefit Year</v>
      </c>
      <c r="C6" s="3">
        <f>Inputs!B11</f>
        <v>2028</v>
      </c>
      <c r="E6" s="3" t="s">
        <v>266</v>
      </c>
      <c r="F6" s="3">
        <f>F5*F4</f>
        <v>0.4</v>
      </c>
      <c r="M6" s="3">
        <v>2.2999999999999998</v>
      </c>
      <c r="N6" s="3" t="s">
        <v>267</v>
      </c>
      <c r="O6" s="3">
        <v>2.2000000000000002</v>
      </c>
    </row>
    <row r="7" spans="2:18" x14ac:dyDescent="0.3">
      <c r="B7" s="3" t="s">
        <v>69</v>
      </c>
      <c r="C7" s="3">
        <f>Inputs!B15</f>
        <v>320</v>
      </c>
    </row>
    <row r="8" spans="2:18" x14ac:dyDescent="0.3">
      <c r="B8" s="3" t="s">
        <v>235</v>
      </c>
      <c r="C8" s="222">
        <f>Inputs!B14</f>
        <v>0.06</v>
      </c>
    </row>
    <row r="9" spans="2:18" x14ac:dyDescent="0.3">
      <c r="B9" s="3" t="s">
        <v>268</v>
      </c>
      <c r="C9" s="51">
        <f>F6</f>
        <v>0.4</v>
      </c>
    </row>
    <row r="10" spans="2:18" x14ac:dyDescent="0.3">
      <c r="B10" s="3" t="s">
        <v>269</v>
      </c>
      <c r="C10" s="51">
        <f>C9/60</f>
        <v>6.6666666666666671E-3</v>
      </c>
    </row>
    <row r="11" spans="2:18" x14ac:dyDescent="0.3">
      <c r="B11" s="3" t="s">
        <v>73</v>
      </c>
      <c r="C11" s="202">
        <f>Inputs!B17</f>
        <v>3.1744892994098661E-2</v>
      </c>
    </row>
    <row r="12" spans="2:18" x14ac:dyDescent="0.3">
      <c r="B12" s="223" t="str">
        <f>Inputs!A32</f>
        <v>Value of Time (2021$), all purposes</v>
      </c>
      <c r="C12" s="223">
        <f>Inputs!B32</f>
        <v>18.8</v>
      </c>
    </row>
    <row r="13" spans="2:18" x14ac:dyDescent="0.3">
      <c r="B13" s="223" t="str">
        <f>Inputs!A33</f>
        <v>Value of Time, (2021$), truck driver per hour</v>
      </c>
      <c r="C13" s="223">
        <f>Inputs!B33</f>
        <v>32.4</v>
      </c>
    </row>
    <row r="14" spans="2:18" x14ac:dyDescent="0.3">
      <c r="B14" s="223" t="str">
        <f>Inputs!A34</f>
        <v>Truck operating costs per hour (2021$)</v>
      </c>
      <c r="C14" s="223">
        <f>Inputs!B34</f>
        <v>55.971845469705386</v>
      </c>
    </row>
    <row r="15" spans="2:18" x14ac:dyDescent="0.3">
      <c r="B15" s="3" t="s">
        <v>270</v>
      </c>
      <c r="C15" s="224">
        <f>Inputs!B26</f>
        <v>1.67</v>
      </c>
    </row>
    <row r="16" spans="2:18" x14ac:dyDescent="0.3">
      <c r="B16" s="3" t="s">
        <v>271</v>
      </c>
      <c r="C16" s="225">
        <v>0.5</v>
      </c>
    </row>
    <row r="18" spans="1:10" ht="43.2" x14ac:dyDescent="0.3">
      <c r="A18" s="162"/>
      <c r="B18" s="226" t="s">
        <v>133</v>
      </c>
      <c r="C18" s="18" t="s">
        <v>272</v>
      </c>
      <c r="D18" s="18" t="s">
        <v>273</v>
      </c>
      <c r="E18" s="18" t="s">
        <v>274</v>
      </c>
      <c r="F18" s="18" t="s">
        <v>275</v>
      </c>
      <c r="G18" s="18" t="s">
        <v>276</v>
      </c>
      <c r="H18" s="18" t="s">
        <v>277</v>
      </c>
      <c r="I18" s="18" t="s">
        <v>278</v>
      </c>
      <c r="J18" s="18" t="s">
        <v>279</v>
      </c>
    </row>
    <row r="19" spans="1:10" x14ac:dyDescent="0.3">
      <c r="A19" s="443">
        <f>IF((B19&gt;(Inputs!$B$7+Inputs!$B$8)),0,IF((B19&lt;Inputs!$B$7),0,((B19-Inputs!$B$7))))</f>
        <v>0</v>
      </c>
      <c r="B19" s="443">
        <f>C6</f>
        <v>2028</v>
      </c>
      <c r="C19" s="444">
        <f>_xlfn.XLOOKUP(B19,TrafficData!$G$8:$G$48,TrafficData!$H$8:$H$48)</f>
        <v>10914.341756010001</v>
      </c>
      <c r="D19" s="445">
        <f>SUM(C19*$C$7)*$C$10*$C$16</f>
        <v>11641.964539744002</v>
      </c>
      <c r="E19" s="445">
        <f>SUM(D19*(1-$C$8))</f>
        <v>10943.446667359362</v>
      </c>
      <c r="F19" s="445">
        <f>SUM(D19*($C$8))</f>
        <v>698.5178723846401</v>
      </c>
      <c r="G19" s="446">
        <f>$C$12*$C$15*E19</f>
        <v>343580.45156841452</v>
      </c>
      <c r="H19" s="446">
        <f>F19*($C$13+$C$14)</f>
        <v>61729.313476202806</v>
      </c>
      <c r="I19" s="349">
        <f>SUM(G19:H19)*Inputs!$B$12</f>
        <v>202654.88252230868</v>
      </c>
      <c r="J19" s="324">
        <f>ROUND(I19/((1+C$4)^($B19-$C$5)),0)</f>
        <v>126203</v>
      </c>
    </row>
    <row r="20" spans="1:10" x14ac:dyDescent="0.3">
      <c r="A20" s="171">
        <f>IF((B20&gt;(Inputs!$B$7+Inputs!$B$8)),0,IF((B20&lt;Inputs!$B$7),0,((B20-Inputs!$B$7))))</f>
        <v>1</v>
      </c>
      <c r="B20" s="171">
        <f>B19+1</f>
        <v>2029</v>
      </c>
      <c r="C20" s="210">
        <f>_xlfn.XLOOKUP(B20,TrafficData!$G$8:$G$48,TrafficData!$H$8:$H$48)</f>
        <v>11260.816367155561</v>
      </c>
      <c r="D20" s="227">
        <f t="shared" ref="D20:D38" si="0">SUM(C20*$C$7)*$C$10*$C$16</f>
        <v>12011.537458299266</v>
      </c>
      <c r="E20" s="227">
        <f t="shared" ref="E20:E38" si="1">SUM(D20*(1-$C$8))</f>
        <v>11290.84521080131</v>
      </c>
      <c r="F20" s="227">
        <f t="shared" ref="F20:F38" si="2">SUM(D20*($C$8))</f>
        <v>720.69224749795592</v>
      </c>
      <c r="G20" s="213">
        <f t="shared" ref="G20:G38" si="3">$C$12*$C$15*E20</f>
        <v>354487.37623831793</v>
      </c>
      <c r="H20" s="213">
        <f t="shared" ref="H20:H38" si="4">F20*($C$13+$C$14)</f>
        <v>63688.903927104031</v>
      </c>
      <c r="I20" s="213">
        <f t="shared" ref="I20:I38" si="5">IF(A20&gt;0,SUM(H20,G20),0)</f>
        <v>418176.28016542195</v>
      </c>
      <c r="J20" s="172">
        <f t="shared" ref="J20:J38" si="6">ROUND(I20/((1+C$4)^($B20-$C$5)),0)</f>
        <v>243382</v>
      </c>
    </row>
    <row r="21" spans="1:10" x14ac:dyDescent="0.3">
      <c r="A21" s="171">
        <f>IF((B21&gt;(Inputs!$B$7+Inputs!$B$8)),0,IF((B21&lt;Inputs!$B$7),0,((B21-Inputs!$B$7))))</f>
        <v>2</v>
      </c>
      <c r="B21" s="171">
        <f t="shared" ref="B21:B39" si="7">B20+1</f>
        <v>2030</v>
      </c>
      <c r="C21" s="210">
        <f>_xlfn.XLOOKUP(B21,TrafficData!$G$8:$G$48,TrafficData!$H$8:$H$48)</f>
        <v>11618.289777757109</v>
      </c>
      <c r="D21" s="227">
        <f t="shared" si="0"/>
        <v>12392.842429607583</v>
      </c>
      <c r="E21" s="227">
        <f t="shared" si="1"/>
        <v>11649.271883831127</v>
      </c>
      <c r="F21" s="227">
        <f t="shared" si="2"/>
        <v>743.57054577645499</v>
      </c>
      <c r="G21" s="213">
        <f t="shared" si="3"/>
        <v>365740.54006476206</v>
      </c>
      <c r="H21" s="213">
        <f t="shared" si="4"/>
        <v>65710.701367181377</v>
      </c>
      <c r="I21" s="213">
        <f t="shared" si="5"/>
        <v>431451.24143194343</v>
      </c>
      <c r="J21" s="172">
        <f t="shared" si="6"/>
        <v>234681</v>
      </c>
    </row>
    <row r="22" spans="1:10" x14ac:dyDescent="0.3">
      <c r="A22" s="171">
        <f>IF((B22&gt;(Inputs!$B$7+Inputs!$B$8)),0,IF((B22&lt;Inputs!$B$7),0,((B22-Inputs!$B$7))))</f>
        <v>3</v>
      </c>
      <c r="B22" s="171">
        <f t="shared" si="7"/>
        <v>2031</v>
      </c>
      <c r="C22" s="210">
        <f>_xlfn.XLOOKUP(B22,TrafficData!$G$8:$G$48,TrafficData!$H$8:$H$48)</f>
        <v>11987.111143526439</v>
      </c>
      <c r="D22" s="227">
        <f t="shared" si="0"/>
        <v>12786.251886428203</v>
      </c>
      <c r="E22" s="227">
        <f t="shared" si="1"/>
        <v>12019.07677324251</v>
      </c>
      <c r="F22" s="227">
        <f t="shared" si="2"/>
        <v>767.17511318569211</v>
      </c>
      <c r="G22" s="213">
        <f t="shared" si="3"/>
        <v>377350.93437272188</v>
      </c>
      <c r="H22" s="213">
        <f t="shared" si="4"/>
        <v>67796.680550649733</v>
      </c>
      <c r="I22" s="213">
        <f t="shared" si="5"/>
        <v>445147.61492337158</v>
      </c>
      <c r="J22" s="172">
        <f t="shared" si="6"/>
        <v>226290</v>
      </c>
    </row>
    <row r="23" spans="1:10" x14ac:dyDescent="0.3">
      <c r="A23" s="171">
        <f>IF((B23&gt;(Inputs!$B$7+Inputs!$B$8)),0,IF((B23&lt;Inputs!$B$7),0,((B23-Inputs!$B$7))))</f>
        <v>4</v>
      </c>
      <c r="B23" s="171">
        <f t="shared" si="7"/>
        <v>2032</v>
      </c>
      <c r="C23" s="210">
        <f>_xlfn.XLOOKUP(B23,TrafficData!$G$8:$G$48,TrafficData!$H$8:$H$48)</f>
        <v>12367.640704086054</v>
      </c>
      <c r="D23" s="227">
        <f t="shared" si="0"/>
        <v>13192.150084358458</v>
      </c>
      <c r="E23" s="227">
        <f t="shared" si="1"/>
        <v>12400.62107929695</v>
      </c>
      <c r="F23" s="227">
        <f t="shared" si="2"/>
        <v>791.52900506150741</v>
      </c>
      <c r="G23" s="213">
        <f t="shared" si="3"/>
        <v>389329.89940560708</v>
      </c>
      <c r="H23" s="213">
        <f t="shared" si="4"/>
        <v>69948.87892008519</v>
      </c>
      <c r="I23" s="213">
        <f t="shared" si="5"/>
        <v>459278.77832569228</v>
      </c>
      <c r="J23" s="172">
        <f t="shared" si="6"/>
        <v>218200</v>
      </c>
    </row>
    <row r="24" spans="1:10" x14ac:dyDescent="0.3">
      <c r="A24" s="171">
        <f>IF((B24&gt;(Inputs!$B$7+Inputs!$B$8)),0,IF((B24&lt;Inputs!$B$7),0,((B24-Inputs!$B$7))))</f>
        <v>5</v>
      </c>
      <c r="B24" s="171">
        <f t="shared" si="7"/>
        <v>2033</v>
      </c>
      <c r="C24" s="210">
        <f>_xlfn.XLOOKUP(B24,TrafficData!$G$8:$G$48,TrafficData!$H$8:$H$48)</f>
        <v>12760.250134826725</v>
      </c>
      <c r="D24" s="227">
        <f t="shared" si="0"/>
        <v>13610.933477148508</v>
      </c>
      <c r="E24" s="227">
        <f t="shared" si="1"/>
        <v>12794.277468519596</v>
      </c>
      <c r="F24" s="227">
        <f t="shared" si="2"/>
        <v>816.65600862891051</v>
      </c>
      <c r="G24" s="213">
        <f t="shared" si="3"/>
        <v>401689.13540164125</v>
      </c>
      <c r="H24" s="213">
        <f t="shared" si="4"/>
        <v>72169.398596460465</v>
      </c>
      <c r="I24" s="213">
        <f t="shared" si="5"/>
        <v>473858.53399810172</v>
      </c>
      <c r="J24" s="172">
        <f t="shared" si="6"/>
        <v>210399</v>
      </c>
    </row>
    <row r="25" spans="1:10" x14ac:dyDescent="0.3">
      <c r="A25" s="171">
        <f>IF((B25&gt;(Inputs!$B$7+Inputs!$B$8)),0,IF((B25&lt;Inputs!$B$7),0,((B25-Inputs!$B$7))))</f>
        <v>6</v>
      </c>
      <c r="B25" s="171">
        <f t="shared" si="7"/>
        <v>2034</v>
      </c>
      <c r="C25" s="210">
        <f>_xlfn.XLOOKUP(B25,TrafficData!$G$8:$G$48,TrafficData!$H$8:$H$48)</f>
        <v>13165.322909934732</v>
      </c>
      <c r="D25" s="227">
        <f t="shared" si="0"/>
        <v>14043.011103930381</v>
      </c>
      <c r="E25" s="227">
        <f t="shared" si="1"/>
        <v>13200.430437694558</v>
      </c>
      <c r="F25" s="227">
        <f t="shared" si="2"/>
        <v>842.58066623582283</v>
      </c>
      <c r="G25" s="213">
        <f t="shared" si="3"/>
        <v>414440.71402185835</v>
      </c>
      <c r="H25" s="213">
        <f t="shared" si="4"/>
        <v>74460.40843235355</v>
      </c>
      <c r="I25" s="213">
        <f t="shared" si="5"/>
        <v>488901.12245421193</v>
      </c>
      <c r="J25" s="172">
        <f t="shared" si="6"/>
        <v>202877</v>
      </c>
    </row>
    <row r="26" spans="1:10" x14ac:dyDescent="0.3">
      <c r="A26" s="171">
        <f>IF((B26&gt;(Inputs!$B$7+Inputs!$B$8)),0,IF((B26&lt;Inputs!$B$7),0,((B26-Inputs!$B$7))))</f>
        <v>7</v>
      </c>
      <c r="B26" s="171">
        <f t="shared" si="7"/>
        <v>2035</v>
      </c>
      <c r="C26" s="210">
        <f>_xlfn.XLOOKUP(B26,TrafficData!$G$8:$G$48,TrafficData!$H$8:$H$48)</f>
        <v>13583.254676943365</v>
      </c>
      <c r="D26" s="227">
        <f t="shared" si="0"/>
        <v>14488.80498873959</v>
      </c>
      <c r="E26" s="227">
        <f t="shared" si="1"/>
        <v>13619.476689415214</v>
      </c>
      <c r="F26" s="227">
        <f t="shared" si="2"/>
        <v>869.32829932437539</v>
      </c>
      <c r="G26" s="213">
        <f t="shared" si="3"/>
        <v>427597.09014088009</v>
      </c>
      <c r="H26" s="213">
        <f t="shared" si="4"/>
        <v>76824.146130335503</v>
      </c>
      <c r="I26" s="213">
        <f t="shared" si="5"/>
        <v>504421.2362712156</v>
      </c>
      <c r="J26" s="172">
        <f t="shared" si="6"/>
        <v>195623</v>
      </c>
    </row>
    <row r="27" spans="1:10" x14ac:dyDescent="0.3">
      <c r="A27" s="171">
        <f>IF((B27&gt;(Inputs!$B$7+Inputs!$B$8)),0,IF((B27&lt;Inputs!$B$7),0,((B27-Inputs!$B$7))))</f>
        <v>8</v>
      </c>
      <c r="B27" s="171">
        <f t="shared" si="7"/>
        <v>2036</v>
      </c>
      <c r="C27" s="210">
        <f>_xlfn.XLOOKUP(B27,TrafficData!$G$8:$G$48,TrafficData!$H$8:$H$48)</f>
        <v>14014.453643174522</v>
      </c>
      <c r="D27" s="227">
        <f t="shared" si="0"/>
        <v>14948.750552719492</v>
      </c>
      <c r="E27" s="227">
        <f t="shared" si="1"/>
        <v>14051.825519556322</v>
      </c>
      <c r="F27" s="227">
        <f t="shared" si="2"/>
        <v>896.92503316316947</v>
      </c>
      <c r="G27" s="213">
        <f t="shared" si="3"/>
        <v>441171.11401199026</v>
      </c>
      <c r="H27" s="213">
        <f t="shared" si="4"/>
        <v>79262.920428605998</v>
      </c>
      <c r="I27" s="213">
        <f t="shared" si="5"/>
        <v>520434.03444059624</v>
      </c>
      <c r="J27" s="172">
        <f t="shared" si="6"/>
        <v>188629</v>
      </c>
    </row>
    <row r="28" spans="1:10" x14ac:dyDescent="0.3">
      <c r="A28" s="171">
        <f>IF((B28&gt;(Inputs!$B$7+Inputs!$B$8)),0,IF((B28&lt;Inputs!$B$7),0,((B28-Inputs!$B$7))))</f>
        <v>9</v>
      </c>
      <c r="B28" s="171">
        <f t="shared" si="7"/>
        <v>2037</v>
      </c>
      <c r="C28" s="210">
        <f>_xlfn.XLOOKUP(B28,TrafficData!$G$8:$G$48,TrafficData!$H$8:$H$48)</f>
        <v>14459.340974447854</v>
      </c>
      <c r="D28" s="227">
        <f t="shared" si="0"/>
        <v>15423.297039411043</v>
      </c>
      <c r="E28" s="227">
        <f t="shared" si="1"/>
        <v>14497.899217046381</v>
      </c>
      <c r="F28" s="227">
        <f t="shared" si="2"/>
        <v>925.3978223646626</v>
      </c>
      <c r="G28" s="213">
        <f t="shared" si="3"/>
        <v>455176.04381838819</v>
      </c>
      <c r="H28" s="213">
        <f t="shared" si="4"/>
        <v>81779.113356011847</v>
      </c>
      <c r="I28" s="213">
        <f t="shared" si="5"/>
        <v>536955.15717440005</v>
      </c>
      <c r="J28" s="172">
        <f t="shared" si="6"/>
        <v>181885</v>
      </c>
    </row>
    <row r="29" spans="1:10" x14ac:dyDescent="0.3">
      <c r="A29" s="171">
        <f>IF((B29&gt;(Inputs!$B$7+Inputs!$B$8)),0,IF((B29&lt;Inputs!$B$7),0,((B29-Inputs!$B$7))))</f>
        <v>10</v>
      </c>
      <c r="B29" s="171">
        <f t="shared" si="7"/>
        <v>2038</v>
      </c>
      <c r="C29" s="210">
        <f>_xlfn.XLOOKUP(B29,TrafficData!$G$8:$G$48,TrafficData!$H$8:$H$48)</f>
        <v>14918.351206446887</v>
      </c>
      <c r="D29" s="227">
        <f t="shared" si="0"/>
        <v>15912.907953543347</v>
      </c>
      <c r="E29" s="227">
        <f t="shared" si="1"/>
        <v>14958.133476330744</v>
      </c>
      <c r="F29" s="227">
        <f t="shared" si="2"/>
        <v>954.7744772126008</v>
      </c>
      <c r="G29" s="213">
        <f t="shared" si="3"/>
        <v>469625.55862288008</v>
      </c>
      <c r="H29" s="213">
        <f t="shared" si="4"/>
        <v>84375.182558650704</v>
      </c>
      <c r="I29" s="213">
        <f t="shared" si="5"/>
        <v>554000.74118153076</v>
      </c>
      <c r="J29" s="172">
        <f t="shared" si="6"/>
        <v>175382</v>
      </c>
    </row>
    <row r="30" spans="1:10" x14ac:dyDescent="0.3">
      <c r="A30" s="171">
        <f>IF((B30&gt;(Inputs!$B$7+Inputs!$B$8)),0,IF((B30&lt;Inputs!$B$7),0,((B30-Inputs!$B$7))))</f>
        <v>11</v>
      </c>
      <c r="B30" s="171">
        <f t="shared" si="7"/>
        <v>2039</v>
      </c>
      <c r="C30" s="210">
        <f>_xlfn.XLOOKUP(B30,TrafficData!$G$8:$G$48,TrafficData!$H$8:$H$48)</f>
        <v>15391.932669143926</v>
      </c>
      <c r="D30" s="227">
        <f t="shared" si="0"/>
        <v>16418.061513753521</v>
      </c>
      <c r="E30" s="227">
        <f t="shared" si="1"/>
        <v>15432.977822928309</v>
      </c>
      <c r="F30" s="227">
        <f t="shared" si="2"/>
        <v>985.08369082521119</v>
      </c>
      <c r="G30" s="213">
        <f t="shared" si="3"/>
        <v>484533.77172865719</v>
      </c>
      <c r="H30" s="213">
        <f t="shared" si="4"/>
        <v>87053.663700332603</v>
      </c>
      <c r="I30" s="213">
        <f t="shared" si="5"/>
        <v>571587.43542898982</v>
      </c>
      <c r="J30" s="172">
        <f t="shared" si="6"/>
        <v>169112</v>
      </c>
    </row>
    <row r="31" spans="1:10" x14ac:dyDescent="0.3">
      <c r="A31" s="171">
        <f>IF((B31&gt;(Inputs!$B$7+Inputs!$B$8)),0,IF((B31&lt;Inputs!$B$7),0,((B31-Inputs!$B$7))))</f>
        <v>12</v>
      </c>
      <c r="B31" s="171">
        <f t="shared" si="7"/>
        <v>2040</v>
      </c>
      <c r="C31" s="210">
        <f>_xlfn.XLOOKUP(B31,TrafficData!$G$8:$G$48,TrafficData!$H$8:$H$48)</f>
        <v>15880.54792469827</v>
      </c>
      <c r="D31" s="227">
        <f t="shared" si="0"/>
        <v>16939.251119678156</v>
      </c>
      <c r="E31" s="227">
        <f t="shared" si="1"/>
        <v>15922.896052497466</v>
      </c>
      <c r="F31" s="227">
        <f t="shared" si="2"/>
        <v>1016.3550671806893</v>
      </c>
      <c r="G31" s="213">
        <f t="shared" si="3"/>
        <v>499915.24446421047</v>
      </c>
      <c r="H31" s="213">
        <f t="shared" si="4"/>
        <v>89817.172939243916</v>
      </c>
      <c r="I31" s="213">
        <f t="shared" si="5"/>
        <v>589732.41740345443</v>
      </c>
      <c r="J31" s="172">
        <f t="shared" si="6"/>
        <v>163066</v>
      </c>
    </row>
    <row r="32" spans="1:10" x14ac:dyDescent="0.3">
      <c r="A32" s="171">
        <f>IF((B32&gt;(Inputs!$B$7+Inputs!$B$8)),0,IF((B32&lt;Inputs!$B$7),0,((B32-Inputs!$B$7))))</f>
        <v>13</v>
      </c>
      <c r="B32" s="171">
        <f t="shared" si="7"/>
        <v>2041</v>
      </c>
      <c r="C32" s="210">
        <f>_xlfn.XLOOKUP(B32,TrafficData!$G$8:$G$48,TrafficData!$H$8:$H$48)</f>
        <v>16384.674219255474</v>
      </c>
      <c r="D32" s="227">
        <f t="shared" si="0"/>
        <v>17476.98583387251</v>
      </c>
      <c r="E32" s="227">
        <f t="shared" si="1"/>
        <v>16428.366683840159</v>
      </c>
      <c r="F32" s="227">
        <f t="shared" si="2"/>
        <v>1048.6191500323505</v>
      </c>
      <c r="G32" s="213">
        <f t="shared" si="3"/>
        <v>515785.00040584564</v>
      </c>
      <c r="H32" s="213">
        <f t="shared" si="4"/>
        <v>92668.409483232695</v>
      </c>
      <c r="I32" s="213">
        <f>IF(A32&gt;0,SUM(H32,G32),0)</f>
        <v>608453.40988907835</v>
      </c>
      <c r="J32" s="172">
        <f t="shared" si="6"/>
        <v>157236</v>
      </c>
    </row>
    <row r="33" spans="1:10" x14ac:dyDescent="0.3">
      <c r="A33" s="171">
        <f>IF((B33&gt;(Inputs!$B$7+Inputs!$B$8)),0,IF((B33&lt;Inputs!$B$7),0,((B33-Inputs!$B$7))))</f>
        <v>14</v>
      </c>
      <c r="B33" s="171">
        <f t="shared" si="7"/>
        <v>2042</v>
      </c>
      <c r="C33" s="210">
        <f>_xlfn.XLOOKUP(B33,TrafficData!$G$8:$G$48,TrafficData!$H$8:$H$48)</f>
        <v>16904.803949088906</v>
      </c>
      <c r="D33" s="227">
        <f t="shared" si="0"/>
        <v>18031.790879028169</v>
      </c>
      <c r="E33" s="227">
        <f t="shared" si="1"/>
        <v>16949.883426286477</v>
      </c>
      <c r="F33" s="227">
        <f t="shared" si="2"/>
        <v>1081.9074527416901</v>
      </c>
      <c r="G33" s="213">
        <f t="shared" si="3"/>
        <v>532158.54005169019</v>
      </c>
      <c r="H33" s="213">
        <f t="shared" si="4"/>
        <v>95610.158226211235</v>
      </c>
      <c r="I33" s="213">
        <f t="shared" si="5"/>
        <v>627768.69827790139</v>
      </c>
      <c r="J33" s="172">
        <f t="shared" si="6"/>
        <v>151614</v>
      </c>
    </row>
    <row r="34" spans="1:10" x14ac:dyDescent="0.3">
      <c r="A34" s="171">
        <f>IF((B34&gt;(Inputs!$B$7+Inputs!$B$8)),0,IF((B34&lt;Inputs!$B$7),0,((B34-Inputs!$B$7))))</f>
        <v>15</v>
      </c>
      <c r="B34" s="171">
        <f t="shared" si="7"/>
        <v>2043</v>
      </c>
      <c r="C34" s="210">
        <f>_xlfn.XLOOKUP(B34,TrafficData!$G$8:$G$48,TrafficData!$H$8:$H$48)</f>
        <v>17441.445141538949</v>
      </c>
      <c r="D34" s="227">
        <f t="shared" si="0"/>
        <v>18604.208150974879</v>
      </c>
      <c r="E34" s="227">
        <f t="shared" si="1"/>
        <v>17487.955661916385</v>
      </c>
      <c r="F34" s="227">
        <f t="shared" si="2"/>
        <v>1116.2524890584928</v>
      </c>
      <c r="G34" s="213">
        <f t="shared" si="3"/>
        <v>549051.85596152686</v>
      </c>
      <c r="H34" s="213">
        <f t="shared" si="4"/>
        <v>98645.292468251137</v>
      </c>
      <c r="I34" s="213">
        <f t="shared" si="5"/>
        <v>647697.14842977794</v>
      </c>
      <c r="J34" s="172">
        <f t="shared" si="6"/>
        <v>146194</v>
      </c>
    </row>
    <row r="35" spans="1:10" x14ac:dyDescent="0.3">
      <c r="A35" s="171">
        <f>IF((B35&gt;(Inputs!$B$7+Inputs!$B$8)),0,IF((B35&lt;Inputs!$B$7),0,((B35-Inputs!$B$7))))</f>
        <v>16</v>
      </c>
      <c r="B35" s="171">
        <f t="shared" si="7"/>
        <v>2044</v>
      </c>
      <c r="C35" s="210">
        <f>_xlfn.XLOOKUP(B35,TrafficData!$G$8:$G$48,TrafficData!$H$8:$H$48)</f>
        <v>17995.121951219546</v>
      </c>
      <c r="D35" s="227">
        <f t="shared" si="0"/>
        <v>19194.796747967514</v>
      </c>
      <c r="E35" s="227">
        <f t="shared" si="1"/>
        <v>18043.108943089461</v>
      </c>
      <c r="F35" s="227">
        <f t="shared" si="2"/>
        <v>1151.6878048780507</v>
      </c>
      <c r="G35" s="213">
        <f t="shared" si="3"/>
        <v>566481.44837723672</v>
      </c>
      <c r="H35" s="213">
        <f t="shared" si="4"/>
        <v>101776.77672202731</v>
      </c>
      <c r="I35" s="213">
        <f t="shared" si="5"/>
        <v>668258.22509926406</v>
      </c>
      <c r="J35" s="172">
        <f t="shared" si="6"/>
        <v>140967</v>
      </c>
    </row>
    <row r="36" spans="1:10" x14ac:dyDescent="0.3">
      <c r="A36" s="171">
        <f>IF((B36&gt;(Inputs!$B$7+Inputs!$B$8)),0,IF((B36&lt;Inputs!$B$7),0,((B36-Inputs!$B$7))))</f>
        <v>17</v>
      </c>
      <c r="B36" s="171">
        <f t="shared" si="7"/>
        <v>2045</v>
      </c>
      <c r="C36" s="210">
        <f>_xlfn.XLOOKUP(B36,TrafficData!$G$8:$G$48,TrafficData!$H$8:$H$48)</f>
        <v>18566.375171976768</v>
      </c>
      <c r="D36" s="227">
        <f t="shared" si="0"/>
        <v>19804.133516775222</v>
      </c>
      <c r="E36" s="227">
        <f t="shared" si="1"/>
        <v>18615.885505768707</v>
      </c>
      <c r="F36" s="227">
        <f t="shared" si="2"/>
        <v>1188.2480110065133</v>
      </c>
      <c r="G36" s="213">
        <f t="shared" si="3"/>
        <v>584464.34133911435</v>
      </c>
      <c r="H36" s="213">
        <f t="shared" si="4"/>
        <v>105007.66960835239</v>
      </c>
      <c r="I36" s="213">
        <f t="shared" si="5"/>
        <v>689472.01094746671</v>
      </c>
      <c r="J36" s="172">
        <f t="shared" si="6"/>
        <v>135927</v>
      </c>
    </row>
    <row r="37" spans="1:10" x14ac:dyDescent="0.3">
      <c r="A37" s="171">
        <f>IF((B37&gt;(Inputs!$B$7+Inputs!$B$8)),0,IF((B37&lt;Inputs!$B$7),0,((B37-Inputs!$B$7))))</f>
        <v>18</v>
      </c>
      <c r="B37" s="171">
        <f t="shared" si="7"/>
        <v>2046</v>
      </c>
      <c r="C37" s="210">
        <f>_xlfn.XLOOKUP(B37,TrafficData!$G$8:$G$48,TrafficData!$H$8:$H$48)</f>
        <v>19155.762765099462</v>
      </c>
      <c r="D37" s="227">
        <f t="shared" si="0"/>
        <v>20432.813616106094</v>
      </c>
      <c r="E37" s="227">
        <f t="shared" si="1"/>
        <v>19206.844799139726</v>
      </c>
      <c r="F37" s="227">
        <f t="shared" si="2"/>
        <v>1225.9688169663657</v>
      </c>
      <c r="G37" s="213">
        <f t="shared" si="3"/>
        <v>603018.09931379091</v>
      </c>
      <c r="H37" s="213">
        <f t="shared" si="4"/>
        <v>108341.1268436292</v>
      </c>
      <c r="I37" s="213">
        <f t="shared" si="5"/>
        <v>711359.22615742008</v>
      </c>
      <c r="J37" s="172">
        <f t="shared" si="6"/>
        <v>131067</v>
      </c>
    </row>
    <row r="38" spans="1:10" x14ac:dyDescent="0.3">
      <c r="A38" s="171">
        <f>IF((B38&gt;(Inputs!$B$7+Inputs!$B$8)),0,IF((B38&lt;Inputs!$B$7),0,((B38-Inputs!$B$7))))</f>
        <v>19</v>
      </c>
      <c r="B38" s="171">
        <f t="shared" si="7"/>
        <v>2047</v>
      </c>
      <c r="C38" s="210">
        <f>_xlfn.XLOOKUP(B38,TrafficData!$G$8:$G$48,TrafficData!$H$8:$H$48)</f>
        <v>19763.860404297884</v>
      </c>
      <c r="D38" s="227">
        <f t="shared" si="0"/>
        <v>21081.451097917743</v>
      </c>
      <c r="E38" s="227">
        <f t="shared" si="1"/>
        <v>19816.564032042676</v>
      </c>
      <c r="F38" s="227">
        <f t="shared" si="2"/>
        <v>1264.8870658750645</v>
      </c>
      <c r="G38" s="213">
        <f t="shared" si="3"/>
        <v>622160.8443500119</v>
      </c>
      <c r="H38" s="213">
        <f t="shared" si="4"/>
        <v>111780.40432214027</v>
      </c>
      <c r="I38" s="213">
        <f t="shared" si="5"/>
        <v>733941.24867215217</v>
      </c>
      <c r="J38" s="172">
        <f t="shared" si="6"/>
        <v>126381</v>
      </c>
    </row>
    <row r="39" spans="1:10" x14ac:dyDescent="0.3">
      <c r="A39" s="171">
        <f>IF((B39&gt;(Inputs!$B$7+Inputs!$B$8)),0,IF((B39&lt;Inputs!$B$7),0,((B39-Inputs!$B$7))))</f>
        <v>20</v>
      </c>
      <c r="B39" s="171">
        <f t="shared" si="7"/>
        <v>2048</v>
      </c>
      <c r="C39" s="210">
        <f>_xlfn.XLOOKUP(B39,TrafficData!$G$8:$G$48,TrafficData!$H$8:$H$48)</f>
        <v>20391.262037982622</v>
      </c>
      <c r="D39" s="227">
        <f t="shared" ref="D39" si="8">SUM(C39*$C$7)*$C$10*$C$16</f>
        <v>21750.679507181467</v>
      </c>
      <c r="E39" s="227">
        <f t="shared" ref="E39" si="9">SUM(D39*(1-$C$8))</f>
        <v>20445.638736750578</v>
      </c>
      <c r="F39" s="227">
        <f t="shared" ref="F39" si="10">SUM(D39*($C$8))</f>
        <v>1305.040770430888</v>
      </c>
      <c r="G39" s="213">
        <f t="shared" ref="G39" si="11">$C$12*$C$15*E39</f>
        <v>641911.27377902111</v>
      </c>
      <c r="H39" s="213">
        <f t="shared" ref="H39" si="12">F39*($C$13+$C$14)</f>
        <v>115328.86129618371</v>
      </c>
      <c r="I39" s="349">
        <f>IF(A39&gt;0,SUM(H39,G39),0)*Inputs!$B$12</f>
        <v>378620.06753760239</v>
      </c>
      <c r="J39" s="172">
        <f t="shared" ref="J39" si="13">ROUND(I39/((1+C$4)^($B39-$C$5)),0)</f>
        <v>60931</v>
      </c>
    </row>
    <row r="40" spans="1:10" x14ac:dyDescent="0.3">
      <c r="A40" s="171"/>
      <c r="B40" s="171"/>
      <c r="C40" s="171"/>
      <c r="D40" s="171"/>
      <c r="E40" s="171"/>
      <c r="F40" s="171"/>
      <c r="G40" s="171"/>
      <c r="H40" s="221" t="s">
        <v>135</v>
      </c>
      <c r="I40" s="198">
        <f>SUM(I19:I39)</f>
        <v>11262169.5107319</v>
      </c>
      <c r="J40" s="198">
        <f>SUM(J19:J39)</f>
        <v>3586046</v>
      </c>
    </row>
  </sheetData>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6023E-81B5-4638-B4F3-50CE52A8E892}">
  <dimension ref="A1:AC41"/>
  <sheetViews>
    <sheetView zoomScale="85" zoomScaleNormal="85" workbookViewId="0">
      <selection activeCell="O11" sqref="O11"/>
    </sheetView>
  </sheetViews>
  <sheetFormatPr defaultColWidth="9.109375" defaultRowHeight="14.4" x14ac:dyDescent="0.3"/>
  <cols>
    <col min="1" max="2" width="9.109375" style="8"/>
    <col min="3" max="3" width="14.6640625" style="8" customWidth="1"/>
    <col min="4" max="4" width="15.5546875" style="8" bestFit="1" customWidth="1"/>
    <col min="5" max="5" width="13.33203125" style="8" bestFit="1" customWidth="1"/>
    <col min="6" max="6" width="9.109375" style="8"/>
    <col min="7" max="7" width="11.6640625" style="8" customWidth="1"/>
    <col min="8" max="16384" width="9.109375" style="8"/>
  </cols>
  <sheetData>
    <row r="1" spans="1:29" x14ac:dyDescent="0.3">
      <c r="A1" s="112"/>
      <c r="B1" s="113" t="s">
        <v>280</v>
      </c>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row>
    <row r="2" spans="1:29" x14ac:dyDescent="0.3">
      <c r="A2" s="112"/>
      <c r="B2" s="112" t="s">
        <v>281</v>
      </c>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row>
    <row r="3" spans="1:29" x14ac:dyDescent="0.3">
      <c r="A3" s="112"/>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row>
    <row r="4" spans="1:29" x14ac:dyDescent="0.3">
      <c r="A4" s="447"/>
      <c r="B4" s="447"/>
      <c r="C4" s="447"/>
      <c r="D4" s="447"/>
      <c r="E4" s="447"/>
      <c r="F4" s="448">
        <v>0.16</v>
      </c>
      <c r="G4" s="112" t="s">
        <v>282</v>
      </c>
      <c r="I4" s="112"/>
      <c r="J4" s="112"/>
      <c r="K4" s="112"/>
      <c r="L4" s="112"/>
      <c r="M4" s="112"/>
      <c r="N4" s="112"/>
      <c r="O4" s="112"/>
      <c r="P4" s="112"/>
      <c r="Q4" s="112"/>
      <c r="R4" s="112"/>
      <c r="S4" s="112"/>
      <c r="T4" s="112"/>
      <c r="U4" s="112"/>
      <c r="V4" s="112"/>
      <c r="W4" s="112"/>
      <c r="X4" s="112"/>
      <c r="Y4" s="112"/>
      <c r="Z4" s="112"/>
      <c r="AA4" s="112"/>
      <c r="AB4" s="112"/>
      <c r="AC4" s="112"/>
    </row>
    <row r="5" spans="1:29" x14ac:dyDescent="0.3">
      <c r="A5" s="447"/>
      <c r="B5" s="447"/>
      <c r="C5" s="447"/>
      <c r="D5" s="447"/>
      <c r="E5" s="449">
        <v>0.6</v>
      </c>
      <c r="F5" s="448">
        <v>0.08</v>
      </c>
      <c r="G5" s="112" t="s">
        <v>283</v>
      </c>
      <c r="H5" s="112"/>
      <c r="I5" s="112"/>
      <c r="J5" s="112"/>
      <c r="K5" s="112"/>
      <c r="L5" s="112"/>
      <c r="M5" s="112"/>
      <c r="N5" s="112"/>
      <c r="O5" s="112"/>
      <c r="P5" s="112"/>
      <c r="Q5" s="112"/>
      <c r="R5" s="112"/>
      <c r="S5" s="112"/>
      <c r="T5" s="112"/>
      <c r="U5" s="112"/>
      <c r="V5" s="114"/>
      <c r="X5" s="112"/>
      <c r="Y5" s="112"/>
      <c r="Z5" s="112"/>
      <c r="AA5" s="112"/>
      <c r="AB5" s="112"/>
      <c r="AC5" s="112"/>
    </row>
    <row r="6" spans="1:29" ht="39.6" x14ac:dyDescent="0.3">
      <c r="A6" s="447"/>
      <c r="B6" s="447"/>
      <c r="C6" s="450" t="s">
        <v>284</v>
      </c>
      <c r="D6" s="451" t="s">
        <v>285</v>
      </c>
      <c r="E6" s="452" t="s">
        <v>286</v>
      </c>
      <c r="F6" s="450" t="s">
        <v>287</v>
      </c>
      <c r="G6" s="115" t="s">
        <v>288</v>
      </c>
      <c r="H6" s="116" t="s">
        <v>289</v>
      </c>
      <c r="I6" s="112"/>
      <c r="J6" s="112"/>
      <c r="K6" s="112"/>
      <c r="L6" s="112"/>
      <c r="M6" s="112"/>
      <c r="N6" s="112"/>
      <c r="O6" s="112"/>
      <c r="P6" s="112"/>
      <c r="Q6" s="112"/>
      <c r="R6" s="112"/>
      <c r="S6" s="112"/>
      <c r="T6" s="112"/>
      <c r="U6" s="112"/>
      <c r="V6" s="112"/>
      <c r="W6" s="112"/>
      <c r="X6" s="112"/>
      <c r="Y6" s="112"/>
      <c r="Z6" s="112"/>
      <c r="AA6" s="112"/>
      <c r="AB6" s="112"/>
      <c r="AC6" s="112"/>
    </row>
    <row r="7" spans="1:29" x14ac:dyDescent="0.3">
      <c r="A7" s="447"/>
      <c r="B7" s="447" t="s">
        <v>188</v>
      </c>
      <c r="C7" s="447">
        <v>123</v>
      </c>
      <c r="D7" s="453">
        <f>12535*(Deflator!$C$90/Deflator!$C$86)</f>
        <v>13700.667749419954</v>
      </c>
      <c r="E7" s="447">
        <f>C7*$E$5</f>
        <v>73.8</v>
      </c>
      <c r="F7" s="453">
        <f>D7*$F$5</f>
        <v>1096.0534199535964</v>
      </c>
      <c r="G7" s="117">
        <f>F7*E7</f>
        <v>80888.742392575412</v>
      </c>
      <c r="H7" s="118" t="s">
        <v>290</v>
      </c>
      <c r="I7" s="112"/>
      <c r="J7" s="112"/>
      <c r="K7" s="112"/>
      <c r="L7" s="112"/>
      <c r="M7" s="112"/>
      <c r="N7" s="112"/>
      <c r="O7" s="112"/>
      <c r="P7" s="112"/>
      <c r="Q7" s="112"/>
      <c r="R7" s="118"/>
      <c r="S7" s="112"/>
      <c r="T7" s="112"/>
      <c r="U7" s="112"/>
      <c r="V7" s="112"/>
      <c r="W7" s="112"/>
      <c r="X7" s="112"/>
      <c r="Y7" s="112"/>
      <c r="Z7" s="112"/>
      <c r="AA7" s="112"/>
      <c r="AB7" s="112"/>
      <c r="AC7" s="112"/>
    </row>
    <row r="8" spans="1:29" x14ac:dyDescent="0.3">
      <c r="A8" s="447"/>
      <c r="B8" s="447" t="s">
        <v>291</v>
      </c>
      <c r="C8" s="447">
        <v>99</v>
      </c>
      <c r="D8" s="453">
        <f>20565*(Deflator!$C$90/Deflator!$C$86)</f>
        <v>22477.401856148492</v>
      </c>
      <c r="E8" s="447">
        <f>C8*$E$5</f>
        <v>59.4</v>
      </c>
      <c r="F8" s="453">
        <f>D8*$F$5</f>
        <v>1798.1921484918794</v>
      </c>
      <c r="G8" s="117">
        <f t="shared" ref="G8" si="0">F8*E8</f>
        <v>106812.61362041763</v>
      </c>
      <c r="H8" s="118"/>
      <c r="I8" s="112"/>
      <c r="J8" s="112"/>
      <c r="K8" s="112"/>
      <c r="L8" s="112"/>
      <c r="M8" s="112"/>
      <c r="N8" s="112"/>
      <c r="O8" s="112"/>
      <c r="P8" s="112"/>
      <c r="Q8" s="112"/>
      <c r="R8" s="118"/>
      <c r="S8" s="112"/>
      <c r="T8" s="112"/>
      <c r="U8" s="112"/>
      <c r="V8" s="112"/>
      <c r="W8" s="112"/>
      <c r="X8" s="112"/>
      <c r="Y8" s="112"/>
      <c r="Z8" s="112"/>
      <c r="AA8" s="112"/>
      <c r="AB8" s="112"/>
      <c r="AC8" s="112"/>
    </row>
    <row r="9" spans="1:29" x14ac:dyDescent="0.3">
      <c r="A9" s="447"/>
      <c r="B9" s="447" t="s">
        <v>292</v>
      </c>
      <c r="C9" s="447">
        <v>277</v>
      </c>
      <c r="D9" s="453">
        <f>121352*(Deflator!$C$90/Deflator!$C$86)</f>
        <v>132636.89132250581</v>
      </c>
      <c r="E9" s="447">
        <f>C9*$E$5</f>
        <v>166.2</v>
      </c>
      <c r="F9" s="453">
        <f>D9*$F$5</f>
        <v>10610.951305800465</v>
      </c>
      <c r="G9" s="117">
        <f t="shared" ref="G9" si="1">F9*E9</f>
        <v>1763540.107024037</v>
      </c>
      <c r="H9" s="118"/>
      <c r="I9" s="112"/>
      <c r="J9" s="112"/>
      <c r="K9" s="112"/>
      <c r="L9" s="112"/>
      <c r="M9" s="112"/>
      <c r="N9" s="112"/>
      <c r="O9" s="112"/>
      <c r="P9" s="112"/>
      <c r="Q9" s="112"/>
      <c r="R9" s="118"/>
      <c r="S9" s="112"/>
      <c r="T9" s="112"/>
      <c r="U9" s="112"/>
      <c r="V9" s="112"/>
      <c r="W9" s="112"/>
      <c r="X9" s="112"/>
      <c r="Y9" s="112"/>
      <c r="Z9" s="112"/>
      <c r="AA9" s="112"/>
      <c r="AB9" s="112"/>
      <c r="AC9" s="112"/>
    </row>
    <row r="10" spans="1:29" x14ac:dyDescent="0.3">
      <c r="A10" s="447"/>
      <c r="B10" s="447" t="s">
        <v>293</v>
      </c>
      <c r="C10" s="447">
        <v>215</v>
      </c>
      <c r="D10" s="453">
        <f>50126*(Deflator!$C$90/Deflator!$C$86)</f>
        <v>54787.369095127615</v>
      </c>
      <c r="E10" s="447">
        <f>C10*$E$5</f>
        <v>129</v>
      </c>
      <c r="F10" s="453">
        <f>D10*$F$5</f>
        <v>4382.9895276102097</v>
      </c>
      <c r="G10" s="117">
        <f t="shared" ref="G10:G11" si="2">F10*E10</f>
        <v>565405.64906171709</v>
      </c>
      <c r="H10" s="118"/>
      <c r="I10" s="112"/>
      <c r="J10" s="112"/>
      <c r="K10" s="112"/>
      <c r="L10" s="112"/>
      <c r="M10" s="112"/>
      <c r="N10" s="112"/>
      <c r="O10" s="112"/>
      <c r="P10" s="112"/>
      <c r="Q10" s="112"/>
      <c r="R10" s="118"/>
      <c r="S10" s="112"/>
      <c r="T10" s="112"/>
      <c r="U10" s="112"/>
      <c r="V10" s="112"/>
      <c r="W10" s="112"/>
      <c r="X10" s="112"/>
      <c r="Y10" s="112"/>
      <c r="Z10" s="112"/>
      <c r="AA10" s="112"/>
      <c r="AB10" s="112"/>
      <c r="AC10" s="112"/>
    </row>
    <row r="11" spans="1:29" x14ac:dyDescent="0.3">
      <c r="A11" s="447"/>
      <c r="B11" s="447" t="s">
        <v>294</v>
      </c>
      <c r="C11" s="447">
        <v>340</v>
      </c>
      <c r="D11" s="453">
        <f>18874*(Deflator!$C$90/Deflator!$C$86)</f>
        <v>20629.150626450119</v>
      </c>
      <c r="E11" s="447">
        <f>C11*$E$5</f>
        <v>204</v>
      </c>
      <c r="F11" s="453">
        <f>D11*$F$5</f>
        <v>1650.3320501160094</v>
      </c>
      <c r="G11" s="117">
        <f t="shared" si="2"/>
        <v>336667.73822366592</v>
      </c>
      <c r="H11" s="118"/>
      <c r="I11" s="112"/>
      <c r="J11" s="112"/>
      <c r="K11" s="112"/>
      <c r="L11" s="112"/>
      <c r="M11" s="112"/>
      <c r="N11" s="112"/>
      <c r="O11" s="112"/>
      <c r="P11" s="112"/>
      <c r="Q11" s="112"/>
      <c r="R11" s="118"/>
      <c r="S11" s="112"/>
      <c r="T11" s="112"/>
      <c r="U11" s="112"/>
      <c r="V11" s="112"/>
      <c r="W11" s="112"/>
      <c r="X11" s="112"/>
      <c r="Y11" s="112"/>
      <c r="Z11" s="112"/>
      <c r="AA11" s="112"/>
      <c r="AB11" s="112"/>
      <c r="AC11" s="112"/>
    </row>
    <row r="12" spans="1:29" x14ac:dyDescent="0.3">
      <c r="A12" s="112"/>
      <c r="C12" s="112"/>
      <c r="D12" s="117"/>
      <c r="E12" s="112"/>
      <c r="F12" s="117"/>
      <c r="G12" s="117"/>
      <c r="H12" s="118"/>
      <c r="I12" s="112"/>
      <c r="J12" s="112"/>
      <c r="K12" s="112"/>
      <c r="L12" s="112"/>
      <c r="M12" s="112"/>
      <c r="N12" s="112"/>
      <c r="O12" s="112"/>
      <c r="P12" s="112"/>
      <c r="Q12" s="112"/>
      <c r="R12" s="118"/>
      <c r="S12" s="112"/>
      <c r="T12" s="112"/>
      <c r="U12" s="112"/>
      <c r="V12" s="112"/>
      <c r="W12" s="112"/>
      <c r="X12" s="112"/>
      <c r="Y12" s="112"/>
      <c r="Z12" s="112"/>
      <c r="AA12" s="112"/>
      <c r="AB12" s="112"/>
      <c r="AC12" s="112"/>
    </row>
    <row r="13" spans="1:29" x14ac:dyDescent="0.3">
      <c r="A13" s="112"/>
      <c r="B13" s="112"/>
      <c r="C13" s="112"/>
      <c r="D13" s="117"/>
      <c r="E13" s="112"/>
      <c r="F13" s="117"/>
      <c r="G13" s="117"/>
      <c r="H13" s="112"/>
      <c r="I13" s="112"/>
      <c r="J13" s="112"/>
      <c r="K13" s="112"/>
      <c r="L13" s="112"/>
      <c r="M13" s="112"/>
      <c r="N13" s="112"/>
      <c r="O13" s="112"/>
      <c r="P13" s="112"/>
      <c r="Q13" s="112"/>
      <c r="R13" s="112"/>
      <c r="S13" s="112"/>
      <c r="T13" s="112"/>
      <c r="U13" s="112"/>
      <c r="V13" s="112"/>
      <c r="W13" s="112"/>
      <c r="X13" s="112"/>
      <c r="Y13" s="112"/>
      <c r="Z13" s="112"/>
      <c r="AA13" s="112"/>
      <c r="AB13" s="112"/>
      <c r="AC13" s="112"/>
    </row>
    <row r="14" spans="1:29" x14ac:dyDescent="0.3">
      <c r="A14" s="112"/>
      <c r="B14" s="119" t="s">
        <v>295</v>
      </c>
      <c r="C14" s="120">
        <f>Inputs!B17</f>
        <v>3.1744892994098661E-2</v>
      </c>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row>
    <row r="15" spans="1:29" x14ac:dyDescent="0.3">
      <c r="A15" s="112"/>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row>
    <row r="16" spans="1:29" x14ac:dyDescent="0.3">
      <c r="A16" s="112"/>
      <c r="B16" s="112"/>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row>
    <row r="17" spans="1:29" ht="26.4" x14ac:dyDescent="0.3">
      <c r="A17" s="121"/>
      <c r="B17" s="122" t="s">
        <v>133</v>
      </c>
      <c r="C17" s="123" t="s">
        <v>296</v>
      </c>
      <c r="D17" s="122" t="s">
        <v>297</v>
      </c>
      <c r="E17" s="122" t="s">
        <v>134</v>
      </c>
      <c r="F17" s="112"/>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row>
    <row r="18" spans="1:29" x14ac:dyDescent="0.3">
      <c r="A18" s="121"/>
      <c r="B18" s="124">
        <f>Inputs!B11</f>
        <v>2028</v>
      </c>
      <c r="C18" s="125">
        <f>SUM(G7:G11)*((1+$C$14)^(B18-2017))</f>
        <v>4023882.6162693244</v>
      </c>
      <c r="D18" s="350">
        <f>C18*Inputs!$B$12</f>
        <v>2011941.3081346622</v>
      </c>
      <c r="E18" s="126">
        <f>D18/(1+Inputs!$B$3)^(B18-Inputs!$B$10)</f>
        <v>1252935.9303278076</v>
      </c>
      <c r="F18" s="112"/>
      <c r="G18" s="112"/>
      <c r="H18" s="127" t="s">
        <v>298</v>
      </c>
      <c r="I18" s="112"/>
      <c r="J18" s="112"/>
      <c r="K18" s="112"/>
      <c r="L18" s="112"/>
      <c r="M18" s="112"/>
      <c r="N18" s="112"/>
      <c r="O18" s="112"/>
      <c r="P18" s="112"/>
      <c r="Q18" s="112"/>
      <c r="R18" s="112"/>
      <c r="S18" s="112"/>
      <c r="T18" s="112"/>
      <c r="U18" s="112"/>
      <c r="V18" s="112"/>
      <c r="W18" s="112"/>
      <c r="X18" s="112"/>
      <c r="Y18" s="112"/>
      <c r="Z18" s="112"/>
      <c r="AA18" s="112"/>
      <c r="AB18" s="112"/>
      <c r="AC18" s="112"/>
    </row>
    <row r="19" spans="1:29" x14ac:dyDescent="0.3">
      <c r="A19" s="121"/>
      <c r="B19" s="124">
        <f>B18+1</f>
        <v>2029</v>
      </c>
      <c r="C19" s="125">
        <f>C18*(1+$C$14)</f>
        <v>4151620.3393436079</v>
      </c>
      <c r="D19" s="126">
        <f t="shared" ref="D19:D37" si="3">C19</f>
        <v>4151620.3393436079</v>
      </c>
      <c r="E19" s="126">
        <f>D19/(1+Inputs!$B$3)^(B19-Inputs!$B$10)</f>
        <v>2416280.8361953744</v>
      </c>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row>
    <row r="20" spans="1:29" x14ac:dyDescent="0.3">
      <c r="A20" s="121"/>
      <c r="B20" s="124">
        <f t="shared" ref="B20:B38" si="4">B19+1</f>
        <v>2030</v>
      </c>
      <c r="C20" s="125">
        <f t="shared" ref="C20:C37" si="5">C19*(1+$C$14)</f>
        <v>4283413.0827681944</v>
      </c>
      <c r="D20" s="126">
        <f t="shared" si="3"/>
        <v>4283413.0827681944</v>
      </c>
      <c r="E20" s="126">
        <f>D20/(1+Inputs!$B$3)^(B20-Inputs!$B$10)</f>
        <v>2329892.9091440071</v>
      </c>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row>
    <row r="21" spans="1:29" x14ac:dyDescent="0.3">
      <c r="A21" s="121"/>
      <c r="B21" s="124">
        <f t="shared" si="4"/>
        <v>2031</v>
      </c>
      <c r="C21" s="125">
        <f t="shared" si="5"/>
        <v>4419389.5727301929</v>
      </c>
      <c r="D21" s="126">
        <f t="shared" si="3"/>
        <v>4419389.5727301929</v>
      </c>
      <c r="E21" s="126">
        <f>D21/(1+Inputs!$B$3)^(B21-Inputs!$B$10)</f>
        <v>2246593.5609649466</v>
      </c>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row>
    <row r="22" spans="1:29" x14ac:dyDescent="0.3">
      <c r="A22" s="121"/>
      <c r="B22" s="124">
        <f t="shared" si="4"/>
        <v>2032</v>
      </c>
      <c r="C22" s="125">
        <f t="shared" si="5"/>
        <v>4559682.6218157485</v>
      </c>
      <c r="D22" s="126">
        <f t="shared" si="3"/>
        <v>4559682.6218157485</v>
      </c>
      <c r="E22" s="126">
        <f>D22/(1+Inputs!$B$3)^(B22-Inputs!$B$10)</f>
        <v>2166272.3674383266</v>
      </c>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row>
    <row r="23" spans="1:29" x14ac:dyDescent="0.3">
      <c r="A23" s="121"/>
      <c r="B23" s="124">
        <f t="shared" si="4"/>
        <v>2033</v>
      </c>
      <c r="C23" s="125">
        <f t="shared" si="5"/>
        <v>4704429.2587323403</v>
      </c>
      <c r="D23" s="126">
        <f t="shared" si="3"/>
        <v>4704429.2587323403</v>
      </c>
      <c r="E23" s="126">
        <f>D23/(1+Inputs!$B$3)^(B23-Inputs!$B$10)</f>
        <v>2088822.8522791865</v>
      </c>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row>
    <row r="24" spans="1:29" x14ac:dyDescent="0.3">
      <c r="A24" s="121"/>
      <c r="B24" s="124">
        <f t="shared" si="4"/>
        <v>2034</v>
      </c>
      <c r="C24" s="125">
        <f t="shared" si="5"/>
        <v>4853770.8621491054</v>
      </c>
      <c r="D24" s="126">
        <f t="shared" si="3"/>
        <v>4853770.8621491054</v>
      </c>
      <c r="E24" s="126">
        <f>D24/(1+Inputs!$B$3)^(B24-Inputs!$B$10)</f>
        <v>2014142.3459891747</v>
      </c>
      <c r="F24" s="112"/>
      <c r="G24" s="112"/>
      <c r="H24" s="112" t="s">
        <v>299</v>
      </c>
      <c r="I24" s="112"/>
      <c r="J24" s="112"/>
      <c r="K24" s="112"/>
      <c r="L24" s="112"/>
      <c r="M24" s="112"/>
      <c r="N24" s="112"/>
      <c r="O24" s="112"/>
      <c r="P24" s="112"/>
      <c r="Q24" s="112"/>
      <c r="R24" s="112"/>
      <c r="S24" s="112"/>
      <c r="T24" s="112"/>
      <c r="U24" s="112"/>
      <c r="V24" s="112"/>
      <c r="W24" s="112"/>
      <c r="X24" s="112"/>
      <c r="Y24" s="112"/>
      <c r="Z24" s="112"/>
      <c r="AA24" s="112"/>
      <c r="AB24" s="112"/>
      <c r="AC24" s="112"/>
    </row>
    <row r="25" spans="1:29" x14ac:dyDescent="0.3">
      <c r="A25" s="121"/>
      <c r="B25" s="124">
        <f t="shared" si="4"/>
        <v>2035</v>
      </c>
      <c r="C25" s="125">
        <f t="shared" si="5"/>
        <v>5007853.2987859026</v>
      </c>
      <c r="D25" s="126">
        <f t="shared" si="3"/>
        <v>5007853.2987859026</v>
      </c>
      <c r="E25" s="126">
        <f>D25/(1+Inputs!$B$3)^(B25-Inputs!$B$10)</f>
        <v>1942131.8497546578</v>
      </c>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row>
    <row r="26" spans="1:29" x14ac:dyDescent="0.3">
      <c r="A26" s="121"/>
      <c r="B26" s="124">
        <f t="shared" si="4"/>
        <v>2036</v>
      </c>
      <c r="C26" s="125">
        <f t="shared" si="5"/>
        <v>5166827.0658860048</v>
      </c>
      <c r="D26" s="126">
        <f t="shared" si="3"/>
        <v>5166827.0658860048</v>
      </c>
      <c r="E26" s="126">
        <f>D26/(1+Inputs!$B$3)^(B26-Inputs!$B$10)</f>
        <v>1872695.9042107945</v>
      </c>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row>
    <row r="27" spans="1:29" x14ac:dyDescent="0.3">
      <c r="A27" s="121"/>
      <c r="B27" s="124">
        <f t="shared" si="4"/>
        <v>2037</v>
      </c>
      <c r="C27" s="125">
        <f t="shared" si="5"/>
        <v>5330847.4382115686</v>
      </c>
      <c r="D27" s="126">
        <f t="shared" si="3"/>
        <v>5330847.4382115686</v>
      </c>
      <c r="E27" s="126">
        <f>D27/(1+Inputs!$B$3)^(B27-Inputs!$B$10)</f>
        <v>1805742.4628976197</v>
      </c>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row>
    <row r="28" spans="1:29" x14ac:dyDescent="0.3">
      <c r="A28" s="121"/>
      <c r="B28" s="124">
        <f t="shared" si="4"/>
        <v>2038</v>
      </c>
      <c r="C28" s="125">
        <f t="shared" si="5"/>
        <v>5500074.61970546</v>
      </c>
      <c r="D28" s="126">
        <f t="shared" si="3"/>
        <v>5500074.61970546</v>
      </c>
      <c r="E28" s="126">
        <f>D28/(1+Inputs!$B$3)^(B28-Inputs!$B$10)</f>
        <v>1741182.7702403786</v>
      </c>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row>
    <row r="29" spans="1:29" x14ac:dyDescent="0.3">
      <c r="A29" s="121"/>
      <c r="B29" s="124">
        <f t="shared" si="4"/>
        <v>2039</v>
      </c>
      <c r="C29" s="125">
        <f t="shared" si="5"/>
        <v>5674673.899967568</v>
      </c>
      <c r="D29" s="126">
        <f t="shared" si="3"/>
        <v>5674673.899967568</v>
      </c>
      <c r="E29" s="126">
        <f>D29/(1+Inputs!$B$3)^(B29-Inputs!$B$10)</f>
        <v>1678931.2438923623</v>
      </c>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row>
    <row r="30" spans="1:29" x14ac:dyDescent="0.3">
      <c r="A30" s="121"/>
      <c r="B30" s="124">
        <f t="shared" si="4"/>
        <v>2040</v>
      </c>
      <c r="C30" s="125">
        <f t="shared" si="5"/>
        <v>5854815.815698443</v>
      </c>
      <c r="D30" s="126">
        <f t="shared" si="3"/>
        <v>5854815.815698443</v>
      </c>
      <c r="E30" s="126">
        <f>D30/(1+Inputs!$B$3)^(B30-Inputs!$B$10)</f>
        <v>1618905.3612842748</v>
      </c>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row>
    <row r="31" spans="1:29" x14ac:dyDescent="0.3">
      <c r="A31" s="121"/>
      <c r="B31" s="124">
        <f t="shared" si="4"/>
        <v>2041</v>
      </c>
      <c r="C31" s="125">
        <f t="shared" si="5"/>
        <v>6040676.3172679469</v>
      </c>
      <c r="D31" s="126">
        <f t="shared" si="3"/>
        <v>6040676.3172679469</v>
      </c>
      <c r="E31" s="126">
        <f>D31/(1+Inputs!$B$3)^(B31-Inputs!$B$10)</f>
        <v>1561025.5502297357</v>
      </c>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row>
    <row r="32" spans="1:29" x14ac:dyDescent="0.3">
      <c r="A32" s="121"/>
      <c r="B32" s="124">
        <f t="shared" si="4"/>
        <v>2042</v>
      </c>
      <c r="C32" s="125">
        <f t="shared" si="5"/>
        <v>6232436.9405716043</v>
      </c>
      <c r="D32" s="126">
        <f t="shared" si="3"/>
        <v>6232436.9405716043</v>
      </c>
      <c r="E32" s="126">
        <f>D32/(1+Inputs!$B$3)^(B32-Inputs!$B$10)</f>
        <v>1505215.0834418996</v>
      </c>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row>
    <row r="33" spans="1:29" x14ac:dyDescent="0.3">
      <c r="A33" s="121"/>
      <c r="B33" s="124">
        <f t="shared" si="4"/>
        <v>2043</v>
      </c>
      <c r="C33" s="125">
        <f t="shared" si="5"/>
        <v>6430284.9843425173</v>
      </c>
      <c r="D33" s="126">
        <f t="shared" si="3"/>
        <v>6430284.9843425173</v>
      </c>
      <c r="E33" s="126">
        <f>D33/(1+Inputs!$B$3)^(B33-Inputs!$B$10)</f>
        <v>1451399.97682137</v>
      </c>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row>
    <row r="34" spans="1:29" x14ac:dyDescent="0.3">
      <c r="A34" s="121"/>
      <c r="B34" s="124">
        <f t="shared" si="4"/>
        <v>2044</v>
      </c>
      <c r="C34" s="125">
        <f t="shared" si="5"/>
        <v>6634413.6930920295</v>
      </c>
      <c r="D34" s="126">
        <f t="shared" si="3"/>
        <v>6634413.6930920295</v>
      </c>
      <c r="E34" s="126">
        <f>D34/(1+Inputs!$B$3)^(B34-Inputs!$B$10)</f>
        <v>1399508.8913805622</v>
      </c>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row>
    <row r="35" spans="1:29" x14ac:dyDescent="0.3">
      <c r="A35" s="121"/>
      <c r="B35" s="124">
        <f t="shared" si="4"/>
        <v>2045</v>
      </c>
      <c r="C35" s="125">
        <f t="shared" si="5"/>
        <v>6845022.4458578192</v>
      </c>
      <c r="D35" s="126">
        <f t="shared" si="3"/>
        <v>6845022.4458578192</v>
      </c>
      <c r="E35" s="126">
        <f>D35/(1+Inputs!$B$3)^(B35-Inputs!$B$10)</f>
        <v>1349473.0386745119</v>
      </c>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row>
    <row r="36" spans="1:29" x14ac:dyDescent="0.3">
      <c r="A36" s="121"/>
      <c r="B36" s="124">
        <f t="shared" si="4"/>
        <v>2046</v>
      </c>
      <c r="C36" s="125">
        <f t="shared" si="5"/>
        <v>7062316.9509437792</v>
      </c>
      <c r="D36" s="126">
        <f t="shared" si="3"/>
        <v>7062316.9509437792</v>
      </c>
      <c r="E36" s="126">
        <f>D36/(1+Inputs!$B$3)^(B36-Inputs!$B$10)</f>
        <v>1301226.0896127622</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row>
    <row r="37" spans="1:29" x14ac:dyDescent="0.3">
      <c r="A37" s="121"/>
      <c r="B37" s="124">
        <f t="shared" si="4"/>
        <v>2047</v>
      </c>
      <c r="C37" s="125">
        <f t="shared" si="5"/>
        <v>7286509.4468418984</v>
      </c>
      <c r="D37" s="126">
        <f t="shared" si="3"/>
        <v>7286509.4468418984</v>
      </c>
      <c r="E37" s="126">
        <f>D37/(1+Inputs!$B$3)^(B37-Inputs!$B$10)</f>
        <v>1254704.0865314475</v>
      </c>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row>
    <row r="38" spans="1:29" x14ac:dyDescent="0.3">
      <c r="A38" s="121"/>
      <c r="B38" s="124">
        <f t="shared" si="4"/>
        <v>2048</v>
      </c>
      <c r="C38" s="125">
        <f>C37*(1+$C$14)</f>
        <v>7517818.9095323831</v>
      </c>
      <c r="D38" s="350">
        <f>C38*Inputs!$B$12</f>
        <v>3758909.4547661915</v>
      </c>
      <c r="E38" s="126">
        <f>D38/(1+Inputs!$B$3)^(B38-Inputs!$B$10)</f>
        <v>604922.67920450761</v>
      </c>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row>
    <row r="39" spans="1:29" x14ac:dyDescent="0.3">
      <c r="A39" s="121"/>
      <c r="B39" s="128" t="s">
        <v>213</v>
      </c>
      <c r="C39" s="129"/>
      <c r="D39" s="129">
        <f>SUM(D18:D38)</f>
        <v>111809909.41761258</v>
      </c>
      <c r="E39" s="129">
        <f>SUM(E18:E38)</f>
        <v>35602005.790515706</v>
      </c>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row>
    <row r="40" spans="1:29" x14ac:dyDescent="0.3">
      <c r="A40" s="112"/>
      <c r="B40" s="112"/>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row>
    <row r="41" spans="1:29" x14ac:dyDescent="0.3">
      <c r="A41" s="112"/>
      <c r="B41" s="112"/>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74A87-D100-4369-9655-0204BEEECA6E}">
  <dimension ref="A1:S67"/>
  <sheetViews>
    <sheetView workbookViewId="0">
      <selection activeCell="G51" sqref="G51"/>
    </sheetView>
  </sheetViews>
  <sheetFormatPr defaultColWidth="9.33203125" defaultRowHeight="14.4" x14ac:dyDescent="0.3"/>
  <cols>
    <col min="1" max="1" width="46.5546875" customWidth="1"/>
    <col min="2" max="2" width="21.44140625" customWidth="1"/>
    <col min="3" max="3" width="22.6640625" customWidth="1"/>
    <col min="4" max="4" width="15.5546875" customWidth="1"/>
    <col min="5" max="5" width="12.5546875" customWidth="1"/>
    <col min="6" max="6" width="26.44140625" bestFit="1" customWidth="1"/>
    <col min="7" max="7" width="12.5546875" customWidth="1"/>
    <col min="8" max="8" width="14.33203125" customWidth="1"/>
    <col min="9" max="16" width="12.5546875" customWidth="1"/>
    <col min="17" max="17" width="13.33203125" customWidth="1"/>
  </cols>
  <sheetData>
    <row r="1" spans="1:19" x14ac:dyDescent="0.3">
      <c r="A1" s="5" t="s">
        <v>9</v>
      </c>
      <c r="B1" s="3"/>
      <c r="C1" s="3"/>
      <c r="D1" s="3"/>
      <c r="E1" s="3"/>
      <c r="F1" s="3"/>
      <c r="G1" s="3"/>
      <c r="H1" s="3"/>
    </row>
    <row r="2" spans="1:19" x14ac:dyDescent="0.3">
      <c r="A2" s="3" t="s">
        <v>300</v>
      </c>
      <c r="B2" s="3"/>
      <c r="C2" s="3"/>
      <c r="D2" s="3"/>
      <c r="E2" s="3"/>
      <c r="F2" s="3"/>
      <c r="G2" s="3"/>
      <c r="H2" s="3"/>
    </row>
    <row r="3" spans="1:19" x14ac:dyDescent="0.3">
      <c r="A3" s="3" t="s">
        <v>301</v>
      </c>
      <c r="B3" s="3"/>
      <c r="C3" s="3"/>
      <c r="D3" s="3"/>
      <c r="E3" s="3"/>
      <c r="F3" s="3"/>
      <c r="G3" s="3"/>
      <c r="H3" s="3"/>
    </row>
    <row r="4" spans="1:19" x14ac:dyDescent="0.3">
      <c r="A4" s="3"/>
      <c r="B4" s="3"/>
      <c r="C4" s="3"/>
      <c r="D4" s="3"/>
      <c r="E4" s="3"/>
      <c r="F4" s="3"/>
      <c r="G4" s="3"/>
      <c r="H4" s="3"/>
    </row>
    <row r="5" spans="1:19" x14ac:dyDescent="0.3">
      <c r="A5" s="168" t="s">
        <v>163</v>
      </c>
      <c r="B5" s="168">
        <f>Inputs!B3</f>
        <v>7.0000000000000007E-2</v>
      </c>
      <c r="C5" s="3"/>
      <c r="D5" s="3"/>
      <c r="E5" s="3"/>
      <c r="F5" s="3"/>
      <c r="G5" s="3"/>
      <c r="H5" s="3"/>
    </row>
    <row r="6" spans="1:19" x14ac:dyDescent="0.3">
      <c r="A6" s="3" t="s">
        <v>131</v>
      </c>
      <c r="B6" s="3">
        <f>Inputs!B10</f>
        <v>2021</v>
      </c>
      <c r="C6" s="3"/>
      <c r="D6" s="3"/>
      <c r="E6" s="3"/>
      <c r="F6" s="3"/>
      <c r="G6" s="3"/>
      <c r="H6" s="3"/>
    </row>
    <row r="7" spans="1:19" x14ac:dyDescent="0.3">
      <c r="A7" s="3" t="s">
        <v>204</v>
      </c>
      <c r="B7" s="3">
        <f>Inputs!B11</f>
        <v>2028</v>
      </c>
      <c r="C7" s="3"/>
      <c r="D7" s="3"/>
      <c r="E7" s="3"/>
      <c r="F7" s="3"/>
      <c r="G7" s="3"/>
      <c r="H7" s="3"/>
    </row>
    <row r="8" spans="1:19" x14ac:dyDescent="0.3">
      <c r="A8" s="3" t="s">
        <v>302</v>
      </c>
      <c r="B8" s="3">
        <v>2000</v>
      </c>
      <c r="C8" s="3" t="s">
        <v>303</v>
      </c>
      <c r="D8" s="3"/>
      <c r="E8" s="3"/>
      <c r="F8" s="3"/>
      <c r="G8" s="3"/>
      <c r="H8" s="3"/>
    </row>
    <row r="9" spans="1:19" x14ac:dyDescent="0.3">
      <c r="A9" s="3"/>
      <c r="B9" s="3"/>
      <c r="C9" s="3"/>
      <c r="D9" s="3"/>
      <c r="E9" s="3"/>
      <c r="F9" s="3"/>
      <c r="G9" s="3"/>
      <c r="H9" s="3"/>
    </row>
    <row r="10" spans="1:19" x14ac:dyDescent="0.3">
      <c r="A10" s="5"/>
      <c r="B10" s="148" t="s">
        <v>304</v>
      </c>
      <c r="C10" s="3"/>
      <c r="D10" s="3"/>
      <c r="E10" s="53" t="s">
        <v>305</v>
      </c>
      <c r="F10" s="3"/>
      <c r="G10" s="3"/>
      <c r="H10" s="3" t="s">
        <v>306</v>
      </c>
      <c r="I10" s="1"/>
      <c r="J10" s="1"/>
      <c r="L10" s="1"/>
      <c r="M10" s="1"/>
      <c r="N10" s="1"/>
      <c r="O10" s="1"/>
      <c r="P10" s="1"/>
      <c r="Q10" s="1"/>
      <c r="R10" s="1"/>
      <c r="S10" s="1"/>
    </row>
    <row r="11" spans="1:19" x14ac:dyDescent="0.3">
      <c r="A11" s="3" t="s">
        <v>307</v>
      </c>
      <c r="B11" s="228">
        <f>0.15</f>
        <v>0.15</v>
      </c>
      <c r="C11" s="3"/>
      <c r="D11" s="3"/>
      <c r="E11" s="53">
        <v>8043</v>
      </c>
      <c r="F11" s="3" t="s">
        <v>308</v>
      </c>
      <c r="G11" s="3"/>
      <c r="H11" s="168">
        <v>1</v>
      </c>
      <c r="I11" s="32"/>
      <c r="J11" s="1"/>
      <c r="L11" s="1"/>
      <c r="M11" s="1"/>
      <c r="N11" s="1"/>
      <c r="O11" s="1"/>
      <c r="P11" s="1"/>
      <c r="Q11" s="1"/>
      <c r="R11" s="1"/>
      <c r="S11" s="1"/>
    </row>
    <row r="12" spans="1:19" x14ac:dyDescent="0.3">
      <c r="A12" s="3" t="str">
        <f>Inputs!A18</f>
        <v>Average Corridor Travel Time without Project (hr)</v>
      </c>
      <c r="B12" s="3">
        <f>Inputs!B18*60</f>
        <v>15</v>
      </c>
      <c r="C12" s="3" t="s">
        <v>264</v>
      </c>
      <c r="D12" s="3"/>
      <c r="E12" s="53">
        <v>14136</v>
      </c>
      <c r="F12" s="3" t="s">
        <v>309</v>
      </c>
      <c r="G12" s="3"/>
      <c r="H12" s="168">
        <v>0.25</v>
      </c>
      <c r="I12" s="33"/>
      <c r="J12" s="33"/>
      <c r="L12" s="33"/>
      <c r="M12" s="33"/>
      <c r="N12" s="33"/>
      <c r="O12" s="33"/>
      <c r="P12" s="33"/>
      <c r="Q12" s="33"/>
      <c r="R12" s="33"/>
      <c r="S12" s="33"/>
    </row>
    <row r="13" spans="1:19" x14ac:dyDescent="0.3">
      <c r="A13" s="3" t="str">
        <f>Inputs!A19</f>
        <v>Average Corridor Travel Time with Project (hr)</v>
      </c>
      <c r="B13" s="3">
        <f>Inputs!B19*60</f>
        <v>8</v>
      </c>
      <c r="C13" s="3" t="s">
        <v>264</v>
      </c>
      <c r="D13" s="3"/>
      <c r="E13" s="53">
        <v>29167</v>
      </c>
      <c r="F13" s="3" t="s">
        <v>292</v>
      </c>
      <c r="G13" s="3"/>
      <c r="H13" s="168">
        <v>0.05</v>
      </c>
      <c r="I13" s="33"/>
      <c r="J13" s="33"/>
      <c r="K13" s="33"/>
      <c r="L13" s="33"/>
      <c r="M13" s="33"/>
      <c r="N13" s="33"/>
      <c r="O13" s="33"/>
      <c r="P13" s="33"/>
      <c r="Q13" s="33"/>
      <c r="R13" s="33"/>
      <c r="S13" s="33"/>
    </row>
    <row r="14" spans="1:19" x14ac:dyDescent="0.3">
      <c r="A14" s="3" t="str">
        <f>Inputs!A20</f>
        <v>Average Corridor Travel Time Savings (hr per veh)</v>
      </c>
      <c r="B14" s="3">
        <f>Inputs!B20*60</f>
        <v>7</v>
      </c>
      <c r="C14" s="3" t="s">
        <v>264</v>
      </c>
      <c r="D14" s="3"/>
      <c r="E14" s="53">
        <v>43410</v>
      </c>
      <c r="F14" s="3" t="s">
        <v>293</v>
      </c>
      <c r="G14" s="3"/>
      <c r="H14" s="168">
        <v>0.05</v>
      </c>
      <c r="I14" s="33"/>
      <c r="J14" s="33"/>
      <c r="K14" s="33"/>
      <c r="L14" s="33"/>
      <c r="M14" s="33"/>
      <c r="N14" s="33"/>
      <c r="O14" s="33"/>
      <c r="P14" s="33"/>
      <c r="Q14" s="33"/>
      <c r="R14" s="33"/>
      <c r="S14" s="33"/>
    </row>
    <row r="15" spans="1:19" ht="15" customHeight="1" x14ac:dyDescent="0.3">
      <c r="A15" s="3" t="s">
        <v>310</v>
      </c>
      <c r="B15" s="3">
        <f>B8</f>
        <v>2000</v>
      </c>
      <c r="C15" s="3"/>
      <c r="D15" s="3"/>
      <c r="E15" s="53">
        <v>37564</v>
      </c>
      <c r="F15" s="3" t="s">
        <v>294</v>
      </c>
      <c r="G15" s="3"/>
      <c r="H15" s="168">
        <v>0.05</v>
      </c>
      <c r="I15" s="33"/>
      <c r="J15" s="33"/>
      <c r="K15" s="33"/>
      <c r="L15" s="33"/>
      <c r="M15" s="33"/>
      <c r="N15" s="33"/>
      <c r="O15" s="33"/>
      <c r="P15" s="33"/>
      <c r="Q15" s="33"/>
      <c r="R15" s="33"/>
      <c r="S15" s="33"/>
    </row>
    <row r="16" spans="1:19" ht="15" customHeight="1" x14ac:dyDescent="0.3">
      <c r="A16" s="3" t="s">
        <v>311</v>
      </c>
      <c r="B16" s="3" t="s">
        <v>312</v>
      </c>
      <c r="C16" s="3"/>
      <c r="D16" s="3"/>
      <c r="E16" s="53">
        <f>SUM(E11:E15)</f>
        <v>132320</v>
      </c>
      <c r="F16" s="3" t="s">
        <v>313</v>
      </c>
      <c r="G16" s="3"/>
      <c r="H16" s="3"/>
      <c r="I16" s="33"/>
      <c r="J16" s="33"/>
      <c r="K16" s="33"/>
      <c r="L16" s="33"/>
      <c r="M16" s="33"/>
      <c r="N16" s="33"/>
      <c r="O16" s="33"/>
      <c r="P16" s="33"/>
      <c r="Q16" s="33"/>
      <c r="R16" s="33"/>
      <c r="S16" s="33"/>
    </row>
    <row r="17" spans="1:19" x14ac:dyDescent="0.3">
      <c r="A17" s="3"/>
      <c r="B17" s="3" t="s">
        <v>314</v>
      </c>
      <c r="C17" s="3"/>
      <c r="D17" s="3"/>
      <c r="E17" s="229">
        <f>SUMPRODUCT(E11:E15,H11:H15)</f>
        <v>17084.05</v>
      </c>
      <c r="F17" s="3" t="s">
        <v>315</v>
      </c>
      <c r="G17" s="3"/>
      <c r="H17" s="3"/>
      <c r="I17" s="32"/>
      <c r="J17" s="33"/>
      <c r="K17" s="33"/>
      <c r="L17" s="33"/>
      <c r="M17" s="33"/>
      <c r="N17" s="33"/>
      <c r="O17" s="33"/>
      <c r="P17" s="33"/>
      <c r="Q17" s="33"/>
      <c r="R17" s="33"/>
      <c r="S17" s="33"/>
    </row>
    <row r="18" spans="1:19" x14ac:dyDescent="0.3">
      <c r="A18" s="5" t="s">
        <v>316</v>
      </c>
      <c r="B18" s="3"/>
      <c r="C18" s="3"/>
      <c r="D18" s="3"/>
      <c r="E18" s="3" t="s">
        <v>317</v>
      </c>
      <c r="F18" s="3"/>
      <c r="G18" s="3"/>
      <c r="H18" s="3"/>
      <c r="I18" s="32"/>
      <c r="J18" s="1"/>
      <c r="K18" s="1"/>
      <c r="L18" s="1"/>
      <c r="M18" s="1"/>
      <c r="N18" s="1"/>
      <c r="O18" s="1"/>
      <c r="P18" s="1"/>
      <c r="Q18" s="1"/>
      <c r="R18" s="1"/>
      <c r="S18" s="1"/>
    </row>
    <row r="19" spans="1:19" x14ac:dyDescent="0.3">
      <c r="A19" s="3" t="s">
        <v>318</v>
      </c>
      <c r="B19" s="3" t="s">
        <v>319</v>
      </c>
      <c r="C19" s="3"/>
      <c r="D19" s="3"/>
      <c r="E19" s="230"/>
      <c r="F19" s="3"/>
      <c r="G19" s="3"/>
      <c r="H19" s="3"/>
      <c r="I19" s="52"/>
      <c r="J19" s="5"/>
      <c r="K19" s="5"/>
      <c r="L19" s="5"/>
      <c r="M19" s="1"/>
      <c r="N19" s="1"/>
      <c r="O19" s="1"/>
      <c r="P19" s="1"/>
      <c r="Q19" s="1"/>
      <c r="R19" s="1"/>
      <c r="S19" s="1"/>
    </row>
    <row r="20" spans="1:19" x14ac:dyDescent="0.3">
      <c r="A20" s="3"/>
      <c r="B20" s="53">
        <f>E17</f>
        <v>17084.05</v>
      </c>
      <c r="C20" s="3" t="s">
        <v>320</v>
      </c>
      <c r="D20" s="3"/>
      <c r="E20" s="5" t="s">
        <v>321</v>
      </c>
      <c r="F20" s="3"/>
      <c r="G20" s="3"/>
      <c r="H20" s="3"/>
      <c r="J20" s="53"/>
      <c r="K20" s="3"/>
      <c r="L20" s="5"/>
      <c r="M20" s="1"/>
      <c r="N20" s="1"/>
      <c r="O20" s="1"/>
      <c r="P20" s="1"/>
      <c r="Q20" s="1"/>
      <c r="R20" s="1"/>
      <c r="S20" s="1"/>
    </row>
    <row r="21" spans="1:19" x14ac:dyDescent="0.3">
      <c r="A21" s="3"/>
      <c r="B21" s="231">
        <f>(5.5/1000)*B20</f>
        <v>93.962274999999991</v>
      </c>
      <c r="C21" s="3" t="s">
        <v>322</v>
      </c>
      <c r="D21" s="53"/>
      <c r="E21" s="3" t="s">
        <v>323</v>
      </c>
      <c r="F21" s="3"/>
      <c r="G21" s="3"/>
      <c r="H21" s="3"/>
      <c r="J21" s="3"/>
      <c r="K21" s="3"/>
      <c r="L21" s="5"/>
      <c r="M21" s="1"/>
      <c r="N21" s="1"/>
      <c r="O21" s="1"/>
      <c r="P21" s="1"/>
      <c r="Q21" s="1"/>
      <c r="R21" s="1"/>
      <c r="S21" s="1"/>
    </row>
    <row r="22" spans="1:19" x14ac:dyDescent="0.3">
      <c r="A22" s="3" t="s">
        <v>324</v>
      </c>
      <c r="B22" s="3" t="s">
        <v>325</v>
      </c>
      <c r="C22" s="3"/>
      <c r="D22" s="53"/>
      <c r="E22" s="3"/>
      <c r="F22" s="53">
        <f>B20</f>
        <v>17084.05</v>
      </c>
      <c r="G22" s="53" t="str">
        <f>C20</f>
        <v>population</v>
      </c>
      <c r="H22" s="3"/>
      <c r="J22" s="53"/>
      <c r="K22" s="3"/>
      <c r="L22" s="5"/>
      <c r="M22" s="1"/>
      <c r="N22" s="1"/>
      <c r="O22" s="1"/>
      <c r="P22" s="1"/>
      <c r="Q22" s="1"/>
      <c r="R22" s="1"/>
      <c r="S22" s="1"/>
    </row>
    <row r="23" spans="1:19" x14ac:dyDescent="0.3">
      <c r="A23" s="3"/>
      <c r="B23" s="3">
        <f>B12</f>
        <v>15</v>
      </c>
      <c r="C23" s="3" t="s">
        <v>326</v>
      </c>
      <c r="D23" s="231"/>
      <c r="E23" s="3"/>
      <c r="F23" s="51">
        <f>F22*58.5/100000</f>
        <v>9.9941692499999988</v>
      </c>
      <c r="G23" s="3" t="s">
        <v>327</v>
      </c>
      <c r="H23" s="3"/>
      <c r="J23" s="51"/>
      <c r="K23" s="3"/>
      <c r="L23" s="3"/>
    </row>
    <row r="24" spans="1:19" x14ac:dyDescent="0.3">
      <c r="A24" s="3"/>
      <c r="B24" s="54">
        <f>B13</f>
        <v>8</v>
      </c>
      <c r="C24" s="3" t="s">
        <v>328</v>
      </c>
      <c r="D24" s="3"/>
      <c r="E24" s="3" t="s">
        <v>329</v>
      </c>
      <c r="F24" s="3"/>
      <c r="G24" s="3"/>
      <c r="H24" s="3"/>
      <c r="J24" s="3"/>
      <c r="K24" s="3"/>
      <c r="L24" s="3"/>
    </row>
    <row r="25" spans="1:19" x14ac:dyDescent="0.3">
      <c r="A25" s="3" t="s">
        <v>330</v>
      </c>
      <c r="B25" s="3" t="s">
        <v>331</v>
      </c>
      <c r="C25" s="3"/>
      <c r="D25" s="232"/>
      <c r="E25" s="3"/>
      <c r="F25" s="3">
        <f>B23</f>
        <v>15</v>
      </c>
      <c r="G25" s="3" t="s">
        <v>326</v>
      </c>
      <c r="H25" s="3"/>
      <c r="J25" s="54"/>
      <c r="K25" s="3"/>
      <c r="L25" s="3"/>
    </row>
    <row r="26" spans="1:19" x14ac:dyDescent="0.3">
      <c r="A26" s="3"/>
      <c r="B26" s="51">
        <f>0.456-0.00264*B23</f>
        <v>0.41639999999999999</v>
      </c>
      <c r="C26" s="3" t="s">
        <v>332</v>
      </c>
      <c r="D26" s="54"/>
      <c r="E26" s="3"/>
      <c r="F26" s="3">
        <f>B24</f>
        <v>8</v>
      </c>
      <c r="G26" s="3" t="s">
        <v>328</v>
      </c>
      <c r="H26" s="3"/>
      <c r="J26" s="54"/>
      <c r="K26" s="3"/>
      <c r="L26" s="3"/>
    </row>
    <row r="27" spans="1:19" x14ac:dyDescent="0.3">
      <c r="A27" s="3"/>
      <c r="B27" s="51">
        <f>0.456-0.00264*B24</f>
        <v>0.43488000000000004</v>
      </c>
      <c r="C27" s="3" t="s">
        <v>333</v>
      </c>
      <c r="D27" s="3"/>
      <c r="E27" s="3" t="s">
        <v>334</v>
      </c>
      <c r="F27" s="3"/>
      <c r="G27" s="3"/>
      <c r="H27" s="3"/>
      <c r="J27" s="3"/>
      <c r="K27" s="3"/>
      <c r="L27" s="3"/>
    </row>
    <row r="28" spans="1:19" x14ac:dyDescent="0.3">
      <c r="A28" s="3" t="s">
        <v>335</v>
      </c>
      <c r="B28" s="3" t="s">
        <v>336</v>
      </c>
      <c r="C28" s="3"/>
      <c r="D28" s="51"/>
      <c r="E28" s="3"/>
      <c r="F28" s="51">
        <f>(1+EXP(-0.26+0.106*(F25+1)+0.139*(F25+2)))^(-1)</f>
        <v>2.1902683653085439E-2</v>
      </c>
      <c r="G28" s="3" t="s">
        <v>332</v>
      </c>
      <c r="H28" s="3"/>
      <c r="J28" s="51"/>
      <c r="K28" s="3"/>
      <c r="L28" s="3"/>
    </row>
    <row r="29" spans="1:19" x14ac:dyDescent="0.3">
      <c r="A29" s="3"/>
      <c r="B29" s="192">
        <f>3845+(431*B23)</f>
        <v>10310</v>
      </c>
      <c r="C29" s="3" t="s">
        <v>337</v>
      </c>
      <c r="D29" s="51"/>
      <c r="E29" s="3"/>
      <c r="F29" s="51">
        <f>(1+EXP(-0.26+0.106*(F26+1)+0.139*(F26+2)))^(-1)</f>
        <v>0.11066169048677241</v>
      </c>
      <c r="G29" s="3" t="s">
        <v>333</v>
      </c>
      <c r="H29" s="3"/>
      <c r="J29" s="51"/>
      <c r="K29" s="3"/>
      <c r="L29" s="3"/>
    </row>
    <row r="30" spans="1:19" x14ac:dyDescent="0.3">
      <c r="A30" s="3"/>
      <c r="B30" s="192">
        <f>3845+(431*B24)</f>
        <v>7293</v>
      </c>
      <c r="C30" s="3" t="s">
        <v>338</v>
      </c>
      <c r="D30" s="3"/>
      <c r="E30" s="3" t="s">
        <v>339</v>
      </c>
      <c r="F30" s="3"/>
      <c r="G30" s="3"/>
      <c r="H30" s="3"/>
      <c r="J30" s="3"/>
      <c r="K30" s="3"/>
      <c r="L30" s="3"/>
    </row>
    <row r="31" spans="1:19" x14ac:dyDescent="0.3">
      <c r="A31" s="3" t="s">
        <v>340</v>
      </c>
      <c r="B31" s="3" t="s">
        <v>341</v>
      </c>
      <c r="C31" s="3"/>
      <c r="D31" s="55"/>
      <c r="E31" s="3"/>
      <c r="F31" s="51">
        <f>F23*(1-F28)</f>
        <v>9.7752701225418548</v>
      </c>
      <c r="G31" s="3" t="s">
        <v>342</v>
      </c>
      <c r="H31" s="3"/>
      <c r="J31" s="51"/>
      <c r="K31" s="3"/>
      <c r="L31" s="3"/>
    </row>
    <row r="32" spans="1:19" x14ac:dyDescent="0.3">
      <c r="A32" s="3"/>
      <c r="B32" s="192">
        <f>((1-B27)*B30-(1-B26)*B29)*B21</f>
        <v>-178105.10137943603</v>
      </c>
      <c r="C32" s="3" t="s">
        <v>343</v>
      </c>
      <c r="D32" s="55"/>
      <c r="E32" s="3"/>
      <c r="F32" s="51">
        <f>F23*(1-F29)</f>
        <v>8.8881975857840807</v>
      </c>
      <c r="G32" s="3" t="s">
        <v>344</v>
      </c>
      <c r="H32" s="3"/>
      <c r="J32" s="51"/>
      <c r="K32" s="3"/>
      <c r="L32" s="3"/>
    </row>
    <row r="33" spans="1:12" x14ac:dyDescent="0.3">
      <c r="A33" s="3" t="s">
        <v>345</v>
      </c>
      <c r="B33" s="3" t="s">
        <v>346</v>
      </c>
      <c r="C33" s="3"/>
      <c r="D33" s="3"/>
      <c r="E33" s="3"/>
      <c r="F33" s="51">
        <f>F32-F31</f>
        <v>-0.88707253675777409</v>
      </c>
      <c r="G33" s="3" t="s">
        <v>347</v>
      </c>
      <c r="H33" s="3"/>
      <c r="J33" s="51"/>
      <c r="K33" s="3"/>
      <c r="L33" s="3"/>
    </row>
    <row r="34" spans="1:12" x14ac:dyDescent="0.3">
      <c r="A34" s="3"/>
      <c r="B34" s="192">
        <f>B32*1.1</f>
        <v>-195915.61151737964</v>
      </c>
      <c r="C34" s="3" t="s">
        <v>348</v>
      </c>
      <c r="D34" s="55"/>
      <c r="E34" s="3" t="s">
        <v>349</v>
      </c>
      <c r="F34" s="3"/>
      <c r="G34" s="3"/>
      <c r="H34" s="3"/>
      <c r="J34" s="3"/>
      <c r="K34" s="3"/>
      <c r="L34" s="3"/>
    </row>
    <row r="35" spans="1:12" x14ac:dyDescent="0.3">
      <c r="A35" s="3"/>
      <c r="B35" s="3"/>
      <c r="C35" s="3"/>
      <c r="D35" s="3"/>
      <c r="E35" s="3"/>
      <c r="F35" s="55">
        <f>F33/365*Inputs!B45</f>
        <v>-28677.961462306121</v>
      </c>
      <c r="G35" s="3" t="s">
        <v>350</v>
      </c>
      <c r="H35" s="3"/>
      <c r="J35" s="55"/>
      <c r="K35" s="3"/>
      <c r="L35" s="3"/>
    </row>
    <row r="36" spans="1:12" x14ac:dyDescent="0.3">
      <c r="A36" s="3"/>
      <c r="B36" s="55"/>
      <c r="C36" s="3"/>
      <c r="D36" s="55"/>
      <c r="E36" s="3"/>
      <c r="F36" s="56">
        <f>F35*365</f>
        <v>-10467455.933741733</v>
      </c>
      <c r="G36" s="3"/>
      <c r="H36" s="3"/>
      <c r="J36" s="56"/>
      <c r="K36" s="3"/>
      <c r="L36" s="3"/>
    </row>
    <row r="37" spans="1:12" x14ac:dyDescent="0.3">
      <c r="A37" s="3" t="s">
        <v>351</v>
      </c>
      <c r="B37" s="3"/>
      <c r="C37" s="3"/>
      <c r="D37" s="3"/>
      <c r="E37" s="3"/>
      <c r="F37" s="233"/>
      <c r="G37" s="56"/>
      <c r="H37" s="3"/>
      <c r="I37" s="3"/>
      <c r="J37" s="3"/>
      <c r="K37" s="3"/>
      <c r="L37" s="3"/>
    </row>
    <row r="38" spans="1:12" x14ac:dyDescent="0.3">
      <c r="A38" s="3"/>
      <c r="B38" s="56">
        <f>B34*Deflator!$C$90/Deflator!$C$62</f>
        <v>-335168.23893669085</v>
      </c>
      <c r="C38" s="3" t="s">
        <v>348</v>
      </c>
      <c r="D38" s="55"/>
      <c r="E38" s="3"/>
      <c r="F38" s="3"/>
      <c r="G38" s="56"/>
      <c r="H38" s="3"/>
      <c r="I38" s="3"/>
      <c r="J38" s="3"/>
      <c r="K38" s="3"/>
      <c r="L38" s="3"/>
    </row>
    <row r="39" spans="1:12" x14ac:dyDescent="0.3">
      <c r="A39" s="3"/>
      <c r="B39" s="56"/>
      <c r="C39" s="3"/>
      <c r="D39" s="3"/>
      <c r="E39" s="3"/>
      <c r="F39" s="3"/>
      <c r="G39" s="3"/>
      <c r="H39" s="3"/>
      <c r="I39" s="3"/>
      <c r="J39" s="3"/>
      <c r="K39" s="3"/>
      <c r="L39" s="3"/>
    </row>
    <row r="40" spans="1:12" x14ac:dyDescent="0.3">
      <c r="A40" s="3" t="s">
        <v>352</v>
      </c>
      <c r="B40" s="3" t="s">
        <v>353</v>
      </c>
      <c r="C40" s="3"/>
      <c r="D40" s="56"/>
      <c r="E40" s="3"/>
      <c r="F40" s="3"/>
      <c r="G40" s="3"/>
      <c r="H40" s="3"/>
      <c r="I40" s="3"/>
      <c r="J40" s="3"/>
      <c r="K40" s="3"/>
      <c r="L40" s="3"/>
    </row>
    <row r="41" spans="1:12" x14ac:dyDescent="0.3">
      <c r="A41" s="3"/>
      <c r="B41" s="192">
        <f>B38+B39</f>
        <v>-335168.23893669085</v>
      </c>
      <c r="C41" s="3" t="s">
        <v>354</v>
      </c>
      <c r="D41" s="56"/>
      <c r="E41" s="3"/>
      <c r="F41" s="3"/>
      <c r="G41" s="3"/>
      <c r="H41" s="3"/>
      <c r="I41" s="3"/>
      <c r="J41" s="3"/>
      <c r="K41" s="3"/>
      <c r="L41" s="3"/>
    </row>
    <row r="42" spans="1:12" x14ac:dyDescent="0.3">
      <c r="A42" s="3"/>
      <c r="B42" s="192"/>
      <c r="C42" s="3"/>
      <c r="D42" s="3"/>
      <c r="E42" s="3"/>
      <c r="F42" s="3"/>
      <c r="G42" s="3"/>
      <c r="H42" s="3"/>
      <c r="I42" s="3"/>
      <c r="J42" s="3"/>
      <c r="K42" s="3"/>
      <c r="L42" s="3"/>
    </row>
    <row r="43" spans="1:12" x14ac:dyDescent="0.3">
      <c r="A43" s="3"/>
      <c r="B43" s="234" t="s">
        <v>355</v>
      </c>
      <c r="C43" s="234"/>
      <c r="D43" s="55"/>
      <c r="E43" s="3"/>
      <c r="F43" s="3"/>
      <c r="G43" s="3"/>
      <c r="H43" s="3"/>
      <c r="I43" s="3"/>
      <c r="J43" s="3"/>
      <c r="K43" s="3"/>
      <c r="L43" s="3"/>
    </row>
    <row r="44" spans="1:12" x14ac:dyDescent="0.3">
      <c r="A44" s="3"/>
      <c r="B44" s="226" t="s">
        <v>356</v>
      </c>
      <c r="C44" s="226" t="s">
        <v>134</v>
      </c>
      <c r="D44" s="3"/>
      <c r="E44" s="3"/>
      <c r="F44" s="3"/>
      <c r="G44" s="3"/>
      <c r="H44" s="3"/>
      <c r="I44" s="3"/>
      <c r="J44" s="3"/>
      <c r="K44" s="3"/>
      <c r="L44" s="3"/>
    </row>
    <row r="45" spans="1:12" x14ac:dyDescent="0.3">
      <c r="A45" s="235">
        <f>Inputs!B11</f>
        <v>2028</v>
      </c>
      <c r="B45" s="351">
        <f>-($B$41+$F$36)*$B$11*Inputs!$B$12</f>
        <v>810196.81295088178</v>
      </c>
      <c r="C45" s="236">
        <f t="shared" ref="C45:C64" si="0">SUM(B45)/(1+$B$5)^(A45-$B$6)</f>
        <v>504549.85614087997</v>
      </c>
      <c r="D45" s="3"/>
      <c r="E45" s="3"/>
      <c r="F45" s="3"/>
      <c r="G45" s="3"/>
      <c r="H45" s="3"/>
    </row>
    <row r="46" spans="1:12" x14ac:dyDescent="0.3">
      <c r="A46" s="171">
        <f>A45+1</f>
        <v>2029</v>
      </c>
      <c r="B46" s="236">
        <f>-($B$41+$F$36)*$B$11</f>
        <v>1620393.6259017636</v>
      </c>
      <c r="C46" s="236">
        <f t="shared" si="0"/>
        <v>943083.84325398132</v>
      </c>
      <c r="D46" s="3"/>
      <c r="E46" s="3"/>
      <c r="F46" s="3"/>
      <c r="G46" s="3"/>
      <c r="H46" s="3"/>
    </row>
    <row r="47" spans="1:12" x14ac:dyDescent="0.3">
      <c r="A47" s="171">
        <f t="shared" ref="A47:A65" si="1">A46+1</f>
        <v>2030</v>
      </c>
      <c r="B47" s="236">
        <f>B46</f>
        <v>1620393.6259017636</v>
      </c>
      <c r="C47" s="236">
        <f t="shared" si="0"/>
        <v>881386.76939624408</v>
      </c>
      <c r="D47" s="3"/>
      <c r="E47" s="3"/>
      <c r="F47" s="3"/>
      <c r="G47" s="3"/>
      <c r="H47" s="3"/>
    </row>
    <row r="48" spans="1:12" x14ac:dyDescent="0.3">
      <c r="A48" s="171">
        <f t="shared" si="1"/>
        <v>2031</v>
      </c>
      <c r="B48" s="236">
        <f t="shared" ref="B48:B64" si="2">B47</f>
        <v>1620393.6259017636</v>
      </c>
      <c r="C48" s="236">
        <f t="shared" si="0"/>
        <v>823725.95270677027</v>
      </c>
      <c r="D48" s="3"/>
      <c r="E48" s="3"/>
      <c r="F48" s="3"/>
      <c r="G48" s="3"/>
      <c r="H48" s="3"/>
    </row>
    <row r="49" spans="1:8" x14ac:dyDescent="0.3">
      <c r="A49" s="171">
        <f t="shared" si="1"/>
        <v>2032</v>
      </c>
      <c r="B49" s="236">
        <f t="shared" si="2"/>
        <v>1620393.6259017636</v>
      </c>
      <c r="C49" s="236">
        <f t="shared" si="0"/>
        <v>769837.33897828986</v>
      </c>
      <c r="D49" s="3"/>
      <c r="E49" s="3"/>
      <c r="F49" s="3"/>
      <c r="G49" s="3"/>
      <c r="H49" s="3"/>
    </row>
    <row r="50" spans="1:8" x14ac:dyDescent="0.3">
      <c r="A50" s="171">
        <f t="shared" si="1"/>
        <v>2033</v>
      </c>
      <c r="B50" s="236">
        <f t="shared" si="2"/>
        <v>1620393.6259017636</v>
      </c>
      <c r="C50" s="236">
        <f t="shared" si="0"/>
        <v>719474.14857784112</v>
      </c>
      <c r="D50" s="3"/>
      <c r="E50" s="3"/>
      <c r="F50" s="3"/>
      <c r="G50" s="3"/>
      <c r="H50" s="3"/>
    </row>
    <row r="51" spans="1:8" x14ac:dyDescent="0.3">
      <c r="A51" s="171">
        <f t="shared" si="1"/>
        <v>2034</v>
      </c>
      <c r="B51" s="236">
        <f t="shared" si="2"/>
        <v>1620393.6259017636</v>
      </c>
      <c r="C51" s="236">
        <f t="shared" si="0"/>
        <v>672405.74633443088</v>
      </c>
      <c r="D51" s="3"/>
      <c r="E51" s="3"/>
      <c r="F51" s="3"/>
      <c r="G51" s="3"/>
      <c r="H51" s="3"/>
    </row>
    <row r="52" spans="1:8" x14ac:dyDescent="0.3">
      <c r="A52" s="171">
        <f t="shared" si="1"/>
        <v>2035</v>
      </c>
      <c r="B52" s="236">
        <f t="shared" si="2"/>
        <v>1620393.6259017636</v>
      </c>
      <c r="C52" s="236">
        <f t="shared" si="0"/>
        <v>628416.58535928128</v>
      </c>
      <c r="D52" s="3"/>
      <c r="E52" s="3"/>
      <c r="F52" s="3"/>
      <c r="G52" s="3"/>
      <c r="H52" s="3"/>
    </row>
    <row r="53" spans="1:8" x14ac:dyDescent="0.3">
      <c r="A53" s="171">
        <f t="shared" si="1"/>
        <v>2036</v>
      </c>
      <c r="B53" s="236">
        <f t="shared" si="2"/>
        <v>1620393.6259017636</v>
      </c>
      <c r="C53" s="236">
        <f t="shared" si="0"/>
        <v>587305.21996194497</v>
      </c>
      <c r="D53" s="3"/>
      <c r="E53" s="3"/>
      <c r="F53" s="3"/>
      <c r="G53" s="3"/>
      <c r="H53" s="3"/>
    </row>
    <row r="54" spans="1:8" x14ac:dyDescent="0.3">
      <c r="A54" s="171">
        <f t="shared" si="1"/>
        <v>2037</v>
      </c>
      <c r="B54" s="236">
        <f t="shared" si="2"/>
        <v>1620393.6259017636</v>
      </c>
      <c r="C54" s="236">
        <f t="shared" si="0"/>
        <v>548883.38314200472</v>
      </c>
      <c r="D54" s="3"/>
      <c r="E54" s="3"/>
      <c r="F54" s="3"/>
      <c r="G54" s="3"/>
      <c r="H54" s="3"/>
    </row>
    <row r="55" spans="1:8" x14ac:dyDescent="0.3">
      <c r="A55" s="171">
        <f t="shared" si="1"/>
        <v>2038</v>
      </c>
      <c r="B55" s="236">
        <f t="shared" si="2"/>
        <v>1620393.6259017636</v>
      </c>
      <c r="C55" s="236">
        <f t="shared" si="0"/>
        <v>512975.12443178013</v>
      </c>
      <c r="D55" s="3"/>
      <c r="E55" s="3"/>
      <c r="F55" s="3"/>
      <c r="G55" s="3"/>
      <c r="H55" s="3"/>
    </row>
    <row r="56" spans="1:8" x14ac:dyDescent="0.3">
      <c r="A56" s="171">
        <f t="shared" si="1"/>
        <v>2039</v>
      </c>
      <c r="B56" s="236">
        <f t="shared" si="2"/>
        <v>1620393.6259017636</v>
      </c>
      <c r="C56" s="236">
        <f t="shared" si="0"/>
        <v>479416.00414185057</v>
      </c>
      <c r="D56" s="3"/>
      <c r="E56" s="3"/>
      <c r="F56" s="3"/>
      <c r="G56" s="3"/>
      <c r="H56" s="3"/>
    </row>
    <row r="57" spans="1:8" x14ac:dyDescent="0.3">
      <c r="A57" s="171">
        <f t="shared" si="1"/>
        <v>2040</v>
      </c>
      <c r="B57" s="236">
        <f t="shared" si="2"/>
        <v>1620393.6259017636</v>
      </c>
      <c r="C57" s="236">
        <f t="shared" si="0"/>
        <v>448052.34031948651</v>
      </c>
      <c r="D57" s="3"/>
      <c r="E57" s="3"/>
      <c r="F57" s="3"/>
      <c r="G57" s="3"/>
      <c r="H57" s="3"/>
    </row>
    <row r="58" spans="1:8" x14ac:dyDescent="0.3">
      <c r="A58" s="171">
        <f t="shared" si="1"/>
        <v>2041</v>
      </c>
      <c r="B58" s="236">
        <f t="shared" si="2"/>
        <v>1620393.6259017636</v>
      </c>
      <c r="C58" s="236">
        <f t="shared" si="0"/>
        <v>418740.50497148273</v>
      </c>
      <c r="D58" s="3"/>
      <c r="E58" s="3"/>
      <c r="F58" s="3"/>
      <c r="G58" s="3"/>
      <c r="H58" s="3"/>
    </row>
    <row r="59" spans="1:8" x14ac:dyDescent="0.3">
      <c r="A59" s="171">
        <f t="shared" si="1"/>
        <v>2042</v>
      </c>
      <c r="B59" s="236">
        <f t="shared" si="2"/>
        <v>1620393.6259017636</v>
      </c>
      <c r="C59" s="236">
        <f t="shared" si="0"/>
        <v>391346.26632848853</v>
      </c>
      <c r="D59" s="3"/>
      <c r="E59" s="3"/>
      <c r="F59" s="3"/>
      <c r="G59" s="3"/>
      <c r="H59" s="3"/>
    </row>
    <row r="60" spans="1:8" x14ac:dyDescent="0.3">
      <c r="A60" s="171">
        <f t="shared" si="1"/>
        <v>2043</v>
      </c>
      <c r="B60" s="236">
        <f t="shared" si="2"/>
        <v>1620393.6259017636</v>
      </c>
      <c r="C60" s="236">
        <f t="shared" si="0"/>
        <v>365744.17413877434</v>
      </c>
      <c r="D60" s="3"/>
      <c r="E60" s="3"/>
      <c r="F60" s="3"/>
      <c r="G60" s="3"/>
      <c r="H60" s="3"/>
    </row>
    <row r="61" spans="1:8" x14ac:dyDescent="0.3">
      <c r="A61" s="171">
        <f t="shared" si="1"/>
        <v>2044</v>
      </c>
      <c r="B61" s="236">
        <f t="shared" si="2"/>
        <v>1620393.6259017636</v>
      </c>
      <c r="C61" s="236">
        <f t="shared" si="0"/>
        <v>341816.98517642461</v>
      </c>
      <c r="D61" s="3"/>
      <c r="E61" s="3"/>
      <c r="F61" s="3"/>
      <c r="G61" s="3"/>
      <c r="H61" s="3"/>
    </row>
    <row r="62" spans="1:8" x14ac:dyDescent="0.3">
      <c r="A62" s="171">
        <f t="shared" si="1"/>
        <v>2045</v>
      </c>
      <c r="B62" s="236">
        <f t="shared" si="2"/>
        <v>1620393.6259017636</v>
      </c>
      <c r="C62" s="236">
        <f t="shared" si="0"/>
        <v>319455.12633310707</v>
      </c>
      <c r="D62" s="3"/>
      <c r="E62" s="3"/>
      <c r="F62" s="3"/>
      <c r="G62" s="3"/>
      <c r="H62" s="3"/>
    </row>
    <row r="63" spans="1:8" x14ac:dyDescent="0.3">
      <c r="A63" s="171">
        <f t="shared" si="1"/>
        <v>2046</v>
      </c>
      <c r="B63" s="236">
        <f t="shared" si="2"/>
        <v>1620393.6259017636</v>
      </c>
      <c r="C63" s="236">
        <f t="shared" si="0"/>
        <v>298556.1928346795</v>
      </c>
      <c r="D63" s="3"/>
      <c r="E63" s="3"/>
      <c r="F63" s="3"/>
      <c r="G63" s="3"/>
      <c r="H63" s="3"/>
    </row>
    <row r="64" spans="1:8" x14ac:dyDescent="0.3">
      <c r="A64" s="171">
        <f t="shared" si="1"/>
        <v>2047</v>
      </c>
      <c r="B64" s="236">
        <f t="shared" si="2"/>
        <v>1620393.6259017636</v>
      </c>
      <c r="C64" s="236">
        <f t="shared" si="0"/>
        <v>279024.47928474721</v>
      </c>
      <c r="D64" s="3"/>
      <c r="E64" s="3"/>
      <c r="F64" s="3"/>
      <c r="G64" s="3"/>
      <c r="H64" s="3"/>
    </row>
    <row r="65" spans="1:8" x14ac:dyDescent="0.3">
      <c r="A65" s="171">
        <f t="shared" si="1"/>
        <v>2048</v>
      </c>
      <c r="B65" s="351">
        <f>B64*Inputs!$B$12</f>
        <v>810196.81295088178</v>
      </c>
      <c r="C65" s="236">
        <f t="shared" ref="C65" si="3">SUM(B65)/(1+$B$5)^(A65-$B$6)</f>
        <v>130385.27069380709</v>
      </c>
      <c r="D65" s="3"/>
      <c r="E65" s="3"/>
      <c r="F65" s="3"/>
      <c r="G65" s="3"/>
      <c r="H65" s="3"/>
    </row>
    <row r="66" spans="1:8" x14ac:dyDescent="0.3">
      <c r="A66" s="237" t="s">
        <v>135</v>
      </c>
      <c r="B66" s="238">
        <f>SUM(B45:B65)</f>
        <v>32407872.518035263</v>
      </c>
      <c r="C66" s="238">
        <f>SUM(C45:C65)</f>
        <v>11064581.312506296</v>
      </c>
      <c r="D66" s="3"/>
      <c r="E66" s="3"/>
      <c r="F66" s="3"/>
      <c r="G66" s="3"/>
      <c r="H66" s="3"/>
    </row>
    <row r="67" spans="1:8" x14ac:dyDescent="0.3">
      <c r="C67" s="49"/>
    </row>
  </sheetData>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1D5FC-7181-4324-A9B2-9E73D44038FF}">
  <dimension ref="A1:Z61"/>
  <sheetViews>
    <sheetView zoomScaleNormal="100" workbookViewId="0">
      <selection activeCell="D16" sqref="D16"/>
    </sheetView>
  </sheetViews>
  <sheetFormatPr defaultColWidth="9.33203125" defaultRowHeight="13.8" x14ac:dyDescent="0.3"/>
  <cols>
    <col min="1" max="1" width="45.5546875" style="66" bestFit="1" customWidth="1"/>
    <col min="2" max="2" width="13" style="66" customWidth="1"/>
    <col min="3" max="5" width="13.5546875" style="66" customWidth="1"/>
    <col min="6" max="6" width="11.5546875" style="66" customWidth="1"/>
    <col min="7" max="7" width="9.6640625" style="66" customWidth="1"/>
    <col min="8" max="9" width="13.33203125" style="66" customWidth="1"/>
    <col min="10" max="10" width="10" style="66" customWidth="1"/>
    <col min="11" max="11" width="10.33203125" style="66" customWidth="1"/>
    <col min="12" max="12" width="11.6640625" style="66" customWidth="1"/>
    <col min="13" max="13" width="10.44140625" style="66" customWidth="1"/>
    <col min="14" max="14" width="11" style="66" customWidth="1"/>
    <col min="15" max="15" width="10.5546875" style="66" customWidth="1"/>
    <col min="16" max="16" width="10.33203125" style="66" customWidth="1"/>
    <col min="17" max="17" width="10" style="66" customWidth="1"/>
    <col min="18" max="18" width="10.33203125" style="66" customWidth="1"/>
    <col min="19" max="16384" width="9.33203125" style="66"/>
  </cols>
  <sheetData>
    <row r="1" spans="1:26" x14ac:dyDescent="0.3">
      <c r="A1" s="246" t="s">
        <v>357</v>
      </c>
    </row>
    <row r="2" spans="1:26" x14ac:dyDescent="0.3">
      <c r="A2" s="66" t="s">
        <v>163</v>
      </c>
      <c r="B2" s="247">
        <f>Inputs!B3</f>
        <v>7.0000000000000007E-2</v>
      </c>
      <c r="K2" s="248">
        <f>SUM(K16:K36)+SUM(M40:M60)</f>
        <v>38128.552526077248</v>
      </c>
      <c r="M2" s="402"/>
      <c r="N2" s="402">
        <f>SUM(N16:N36)+SUM(O40:O60)</f>
        <v>1601294.8174800894</v>
      </c>
      <c r="P2" s="402">
        <f>SUM(O16:O36)+SUM(Q40:Q60)</f>
        <v>809647</v>
      </c>
    </row>
    <row r="3" spans="1:26" x14ac:dyDescent="0.3">
      <c r="A3" s="66" t="s">
        <v>358</v>
      </c>
      <c r="B3" s="247">
        <f>Inputs!B4</f>
        <v>0.03</v>
      </c>
      <c r="J3" s="248"/>
    </row>
    <row r="4" spans="1:26" x14ac:dyDescent="0.3">
      <c r="A4" s="66" t="s">
        <v>131</v>
      </c>
      <c r="B4" s="66">
        <f>Inputs!B10</f>
        <v>2021</v>
      </c>
    </row>
    <row r="5" spans="1:26" x14ac:dyDescent="0.3">
      <c r="A5" s="66" t="s">
        <v>65</v>
      </c>
      <c r="B5" s="66">
        <f>Inputs!B11</f>
        <v>2028</v>
      </c>
    </row>
    <row r="6" spans="1:26" x14ac:dyDescent="0.3">
      <c r="A6" s="66" t="s">
        <v>67</v>
      </c>
      <c r="B6" s="249">
        <f>Inputs!B14</f>
        <v>0.06</v>
      </c>
    </row>
    <row r="7" spans="1:26" x14ac:dyDescent="0.3">
      <c r="A7" s="250" t="s">
        <v>359</v>
      </c>
      <c r="B7" s="251">
        <f>Inputs!B58</f>
        <v>3.79</v>
      </c>
      <c r="C7" s="250"/>
    </row>
    <row r="8" spans="1:26" ht="15" x14ac:dyDescent="0.3">
      <c r="A8" s="250" t="s">
        <v>867</v>
      </c>
      <c r="B8" s="251">
        <f>Inputs!B59</f>
        <v>2443.9299999999998</v>
      </c>
      <c r="C8" s="250"/>
    </row>
    <row r="9" spans="1:26" x14ac:dyDescent="0.3">
      <c r="A9" s="66" t="str">
        <f>Inputs!A60</f>
        <v xml:space="preserve">Heavy Duty (Class VII) Idle Emissions Rates g/hr. NOx </v>
      </c>
      <c r="B9" s="66">
        <f>Inputs!B60</f>
        <v>30.343</v>
      </c>
    </row>
    <row r="10" spans="1:26" x14ac:dyDescent="0.3">
      <c r="A10" s="66" t="str">
        <f>Inputs!A62</f>
        <v>Heavy Duty (Class VII) Idle Emissions Rates g/hr. PM2.5</v>
      </c>
      <c r="B10" s="66">
        <f>Inputs!B62</f>
        <v>1.093</v>
      </c>
    </row>
    <row r="11" spans="1:26" x14ac:dyDescent="0.3">
      <c r="A11" s="66" t="str">
        <f>Inputs!A61</f>
        <v>Heavy Duty (Class VII) Idle Emissions Rates g/hr. CO2</v>
      </c>
      <c r="B11" s="66">
        <f>Inputs!B61</f>
        <v>19.055</v>
      </c>
    </row>
    <row r="12" spans="1:26" x14ac:dyDescent="0.3">
      <c r="A12" s="66" t="s">
        <v>360</v>
      </c>
      <c r="B12" s="252">
        <v>1000000</v>
      </c>
    </row>
    <row r="13" spans="1:26" x14ac:dyDescent="0.3">
      <c r="B13" s="252"/>
    </row>
    <row r="14" spans="1:26" ht="14.4" thickBot="1" x14ac:dyDescent="0.35">
      <c r="S14" s="253"/>
      <c r="T14" s="254"/>
      <c r="U14" s="253"/>
      <c r="V14" s="254"/>
    </row>
    <row r="15" spans="1:26" ht="41.4" x14ac:dyDescent="0.3">
      <c r="B15" s="255" t="s">
        <v>133</v>
      </c>
      <c r="C15" s="256" t="s">
        <v>361</v>
      </c>
      <c r="D15" s="256" t="s">
        <v>362</v>
      </c>
      <c r="E15" s="256" t="s">
        <v>363</v>
      </c>
      <c r="F15" s="256" t="s">
        <v>364</v>
      </c>
      <c r="G15" s="256" t="s">
        <v>365</v>
      </c>
      <c r="H15" s="257" t="s">
        <v>366</v>
      </c>
      <c r="I15" s="257" t="s">
        <v>367</v>
      </c>
      <c r="J15" s="256" t="s">
        <v>368</v>
      </c>
      <c r="K15" s="257" t="s">
        <v>369</v>
      </c>
      <c r="L15" s="256" t="s">
        <v>370</v>
      </c>
      <c r="M15" s="256" t="s">
        <v>371</v>
      </c>
      <c r="N15" s="256" t="s">
        <v>372</v>
      </c>
      <c r="O15" s="256" t="s">
        <v>373</v>
      </c>
      <c r="P15" s="258" t="s">
        <v>374</v>
      </c>
      <c r="X15" s="253"/>
      <c r="Z15" s="253"/>
    </row>
    <row r="16" spans="1:26" x14ac:dyDescent="0.3">
      <c r="B16" s="259">
        <f>'Maint Delays Avoidance'!B21</f>
        <v>2028</v>
      </c>
      <c r="C16" s="260">
        <f>TT_Savings!D17/TT_Savings!$B$11</f>
        <v>230938.91128912757</v>
      </c>
      <c r="D16" s="260">
        <f>'Maint Delays Avoidance'!E21*(1-'Maint Delays Avoidance'!$C$12)</f>
        <v>43876.674849463328</v>
      </c>
      <c r="E16" s="260">
        <f>'DMS Delay Avoidance'!F19/'DMS Delay Avoidance'!$C$14</f>
        <v>249953.24693183365</v>
      </c>
      <c r="F16" s="260">
        <f>SignalCoord!E19</f>
        <v>10943.446667359362</v>
      </c>
      <c r="G16" s="260">
        <f t="shared" ref="G16:G35" si="0">SUM(C16:F16)</f>
        <v>535712.27973778383</v>
      </c>
      <c r="H16" s="261">
        <f>SUM(G16/$B$12)*$B$7</f>
        <v>2.0303495402062004</v>
      </c>
      <c r="I16" s="262">
        <f>VLOOKUP(B16,'Emissions Rates'!E91:I120,2)</f>
        <v>18200</v>
      </c>
      <c r="J16" s="352">
        <f>SUM(I16*H16)*Inputs!$B$12</f>
        <v>18476.180815876425</v>
      </c>
      <c r="K16" s="263">
        <f>SUM(G16/$B$12)*$B$8</f>
        <v>1309.2433118195618</v>
      </c>
      <c r="L16" s="262">
        <f>VLOOKUP(B16,'Emissions Rates'!E91:I120,5)</f>
        <v>62</v>
      </c>
      <c r="M16" s="352">
        <f>SUM(L16*K16)*Inputs!$B$12</f>
        <v>40586.542666406414</v>
      </c>
      <c r="N16" s="262">
        <f>ROUND(M16/((1+B$3)^($B16-$B$4)),0)</f>
        <v>33001</v>
      </c>
      <c r="O16" s="262">
        <f>ROUND(J16/((1+B$2)^($B16-$B$4)),0)</f>
        <v>11506</v>
      </c>
      <c r="P16" s="264">
        <f>SUM(N16:O16)</f>
        <v>44507</v>
      </c>
      <c r="X16" s="253"/>
      <c r="Z16" s="253"/>
    </row>
    <row r="17" spans="2:26" x14ac:dyDescent="0.3">
      <c r="B17" s="259">
        <f>'Maint Delays Avoidance'!B22</f>
        <v>2029</v>
      </c>
      <c r="C17" s="260">
        <f>TT_Savings!D18/TT_Savings!$B$11</f>
        <v>238270.0423161746</v>
      </c>
      <c r="D17" s="260">
        <f>'Maint Delays Avoidance'!E22*(1-'Maint Delays Avoidance'!$C$12)</f>
        <v>45269.535197496407</v>
      </c>
      <c r="E17" s="260">
        <f>'DMS Delay Avoidance'!F20/'DMS Delay Avoidance'!$C$14</f>
        <v>257887.98600921227</v>
      </c>
      <c r="F17" s="260">
        <f>SignalCoord!E20</f>
        <v>11290.84521080131</v>
      </c>
      <c r="G17" s="260">
        <f t="shared" si="0"/>
        <v>552718.40873368457</v>
      </c>
      <c r="H17" s="261">
        <f t="shared" ref="H17:H35" si="1">SUM(G17/$B$12)*$B$7</f>
        <v>2.0948027691006645</v>
      </c>
      <c r="I17" s="262">
        <f>VLOOKUP(B17,'Emissions Rates'!E92:I121,2)</f>
        <v>18600</v>
      </c>
      <c r="J17" s="262">
        <f t="shared" ref="J17:J35" si="2">SUM(I17*H17)</f>
        <v>38963.331505272363</v>
      </c>
      <c r="K17" s="263">
        <f t="shared" ref="K17:K35" si="3">SUM(G17/$B$12)*$B$8</f>
        <v>1350.8051006565138</v>
      </c>
      <c r="L17" s="262">
        <f>VLOOKUP(B17,'Emissions Rates'!E92:I121,5)</f>
        <v>63</v>
      </c>
      <c r="M17" s="262">
        <f t="shared" ref="M17:M35" si="4">SUM(L17*K17)</f>
        <v>85100.721341360375</v>
      </c>
      <c r="N17" s="262">
        <f t="shared" ref="N17:N35" si="5">ROUND(M17/((1+B$3)^($B17-$B$4)),0)</f>
        <v>67179</v>
      </c>
      <c r="O17" s="262">
        <f t="shared" ref="O17:O35" si="6">ROUND(J17/((1+B$2)^($B17-$B$4)),0)</f>
        <v>22677</v>
      </c>
      <c r="P17" s="264">
        <f t="shared" ref="P17:P35" si="7">SUM(N17:O17)</f>
        <v>89856</v>
      </c>
      <c r="X17" s="253"/>
      <c r="Z17" s="253"/>
    </row>
    <row r="18" spans="2:26" x14ac:dyDescent="0.3">
      <c r="B18" s="259">
        <f>'Maint Delays Avoidance'!B23</f>
        <v>2030</v>
      </c>
      <c r="C18" s="260">
        <f>TT_Savings!D19/TT_Savings!$B$11</f>
        <v>245833.89931320088</v>
      </c>
      <c r="D18" s="260">
        <f>'Maint Delays Avoidance'!E23*(1-'Maint Delays Avoidance'!$C$12)</f>
        <v>46706.611748233518</v>
      </c>
      <c r="E18" s="260">
        <f>'DMS Delay Avoidance'!F21/'DMS Delay Avoidance'!$C$14</f>
        <v>266074.61252953828</v>
      </c>
      <c r="F18" s="260">
        <f>SignalCoord!E21</f>
        <v>11649.271883831127</v>
      </c>
      <c r="G18" s="260">
        <f t="shared" si="0"/>
        <v>570264.39547480387</v>
      </c>
      <c r="H18" s="261">
        <f t="shared" si="1"/>
        <v>2.1613020588495067</v>
      </c>
      <c r="I18" s="262">
        <f>VLOOKUP(B18,'Emissions Rates'!E93:I122,2)</f>
        <v>18900</v>
      </c>
      <c r="J18" s="262">
        <f>SUM(I18*H18)</f>
        <v>40848.608912255673</v>
      </c>
      <c r="K18" s="263">
        <f t="shared" si="3"/>
        <v>1393.6862640327374</v>
      </c>
      <c r="L18" s="262">
        <f>VLOOKUP(B18,'Emissions Rates'!E93:I122,5)</f>
        <v>65</v>
      </c>
      <c r="M18" s="262">
        <f t="shared" si="4"/>
        <v>90589.607162127926</v>
      </c>
      <c r="N18" s="262">
        <f t="shared" si="5"/>
        <v>69429</v>
      </c>
      <c r="O18" s="262">
        <f t="shared" si="6"/>
        <v>22219</v>
      </c>
      <c r="P18" s="264">
        <f t="shared" si="7"/>
        <v>91648</v>
      </c>
      <c r="X18" s="253"/>
      <c r="Z18" s="253"/>
    </row>
    <row r="19" spans="2:26" x14ac:dyDescent="0.3">
      <c r="B19" s="259">
        <f>'Maint Delays Avoidance'!B24</f>
        <v>2031</v>
      </c>
      <c r="C19" s="260">
        <f>TT_Savings!D20/TT_Savings!$B$11</f>
        <v>253637.87014122048</v>
      </c>
      <c r="D19" s="260">
        <f>'Maint Delays Avoidance'!E24*(1-'Maint Delays Avoidance'!$C$12)</f>
        <v>48189.308140298104</v>
      </c>
      <c r="E19" s="260">
        <f>'DMS Delay Avoidance'!F22/'DMS Delay Avoidance'!$C$14</f>
        <v>274521.12263273483</v>
      </c>
      <c r="F19" s="260">
        <f>SignalCoord!E22</f>
        <v>12019.07677324251</v>
      </c>
      <c r="G19" s="260">
        <f t="shared" si="0"/>
        <v>588367.3776874959</v>
      </c>
      <c r="H19" s="261">
        <f t="shared" si="1"/>
        <v>2.2299123614356096</v>
      </c>
      <c r="I19" s="262">
        <f>VLOOKUP(B19,'Emissions Rates'!E94:I123,2)</f>
        <v>18900</v>
      </c>
      <c r="J19" s="262">
        <f t="shared" si="2"/>
        <v>42145.343631133022</v>
      </c>
      <c r="K19" s="263">
        <f t="shared" si="3"/>
        <v>1437.9286853518017</v>
      </c>
      <c r="L19" s="262">
        <f>VLOOKUP(B19,'Emissions Rates'!E94:I123,5)</f>
        <v>66</v>
      </c>
      <c r="M19" s="262">
        <f t="shared" si="4"/>
        <v>94903.293233218908</v>
      </c>
      <c r="N19" s="262">
        <f t="shared" si="5"/>
        <v>70617</v>
      </c>
      <c r="O19" s="262">
        <f t="shared" si="6"/>
        <v>21425</v>
      </c>
      <c r="P19" s="264">
        <f t="shared" si="7"/>
        <v>92042</v>
      </c>
      <c r="X19" s="253"/>
      <c r="Z19" s="253"/>
    </row>
    <row r="20" spans="2:26" x14ac:dyDescent="0.3">
      <c r="B20" s="259">
        <f>'Maint Delays Avoidance'!B25</f>
        <v>2032</v>
      </c>
      <c r="C20" s="260">
        <f>TT_Savings!D21/TT_Savings!$B$11</f>
        <v>261689.57718810462</v>
      </c>
      <c r="D20" s="260">
        <f>'Maint Delays Avoidance'!E25*(1-'Maint Delays Avoidance'!$C$12)</f>
        <v>49719.072570671502</v>
      </c>
      <c r="E20" s="260">
        <f>'DMS Delay Avoidance'!F23/'DMS Delay Avoidance'!$C$14</f>
        <v>283235.76629533083</v>
      </c>
      <c r="F20" s="260">
        <f>SignalCoord!E23</f>
        <v>12400.62107929695</v>
      </c>
      <c r="G20" s="260">
        <f t="shared" si="0"/>
        <v>607045.03713340394</v>
      </c>
      <c r="H20" s="261">
        <f t="shared" si="1"/>
        <v>2.3007006907356011</v>
      </c>
      <c r="I20" s="262">
        <f>VLOOKUP(B20,'Emissions Rates'!E95:I124,2)</f>
        <v>18900</v>
      </c>
      <c r="J20" s="262">
        <f t="shared" si="2"/>
        <v>43483.243054902858</v>
      </c>
      <c r="K20" s="263">
        <f t="shared" si="3"/>
        <v>1483.5755776014398</v>
      </c>
      <c r="L20" s="262">
        <f>VLOOKUP(B20,'Emissions Rates'!E95:I124,5)</f>
        <v>67</v>
      </c>
      <c r="M20" s="262">
        <f t="shared" si="4"/>
        <v>99399.563699296472</v>
      </c>
      <c r="N20" s="262">
        <f t="shared" si="5"/>
        <v>71808</v>
      </c>
      <c r="O20" s="262">
        <f t="shared" si="6"/>
        <v>20659</v>
      </c>
      <c r="P20" s="264">
        <f t="shared" si="7"/>
        <v>92467</v>
      </c>
      <c r="X20" s="253"/>
      <c r="Z20" s="253"/>
    </row>
    <row r="21" spans="2:26" x14ac:dyDescent="0.3">
      <c r="B21" s="259">
        <f>'Maint Delays Avoidance'!B26</f>
        <v>2033</v>
      </c>
      <c r="C21" s="260">
        <f>TT_Savings!D22/TT_Savings!$B$11</f>
        <v>269996.88481361186</v>
      </c>
      <c r="D21" s="260">
        <f>'Maint Delays Avoidance'!E26*(1-'Maint Delays Avoidance'!$C$12)</f>
        <v>51297.399209193296</v>
      </c>
      <c r="E21" s="260">
        <f>'DMS Delay Avoidance'!F24/'DMS Delay Avoidance'!$C$14</f>
        <v>292227.05538847757</v>
      </c>
      <c r="F21" s="260">
        <f>SignalCoord!E24</f>
        <v>12794.277468519596</v>
      </c>
      <c r="G21" s="260">
        <f t="shared" si="0"/>
        <v>626315.61687980231</v>
      </c>
      <c r="H21" s="261">
        <f t="shared" si="1"/>
        <v>2.3737361879744507</v>
      </c>
      <c r="I21" s="262">
        <f>VLOOKUP(B21,'Emissions Rates'!E96:I125,2)</f>
        <v>18900</v>
      </c>
      <c r="J21" s="262">
        <f t="shared" si="2"/>
        <v>44863.613952717118</v>
      </c>
      <c r="K21" s="263">
        <f t="shared" si="3"/>
        <v>1530.6715255610552</v>
      </c>
      <c r="L21" s="262">
        <f>VLOOKUP(B21,'Emissions Rates'!E96:I125,5)</f>
        <v>68</v>
      </c>
      <c r="M21" s="262">
        <f t="shared" si="4"/>
        <v>104085.66373815175</v>
      </c>
      <c r="N21" s="262">
        <f t="shared" si="5"/>
        <v>73004</v>
      </c>
      <c r="O21" s="262">
        <f t="shared" si="6"/>
        <v>19920</v>
      </c>
      <c r="P21" s="264">
        <f t="shared" si="7"/>
        <v>92924</v>
      </c>
      <c r="X21" s="253"/>
      <c r="Z21" s="253"/>
    </row>
    <row r="22" spans="2:26" x14ac:dyDescent="0.3">
      <c r="B22" s="259">
        <f>'Maint Delays Avoidance'!B27</f>
        <v>2034</v>
      </c>
      <c r="C22" s="260">
        <f>TT_Savings!D23/TT_Savings!$B$11</f>
        <v>278567.90703076002</v>
      </c>
      <c r="D22" s="260">
        <f>'Maint Delays Avoidance'!E27*(1-'Maint Delays Avoidance'!$C$12)</f>
        <v>52925.829657964707</v>
      </c>
      <c r="E22" s="260">
        <f>'DMS Delay Avoidance'!F25/'DMS Delay Avoidance'!$C$14</f>
        <v>301503.7719917653</v>
      </c>
      <c r="F22" s="260">
        <f>SignalCoord!E25</f>
        <v>13200.430437694558</v>
      </c>
      <c r="G22" s="260">
        <f t="shared" si="0"/>
        <v>646197.93911818461</v>
      </c>
      <c r="H22" s="261">
        <f>SUM(G22/$B$12)*$B$7</f>
        <v>2.4490901892579195</v>
      </c>
      <c r="I22" s="262">
        <f>VLOOKUP(B22,'Emissions Rates'!E97:I126,2)</f>
        <v>18900</v>
      </c>
      <c r="J22" s="262">
        <f t="shared" si="2"/>
        <v>46287.804576974682</v>
      </c>
      <c r="K22" s="263">
        <f t="shared" si="3"/>
        <v>1579.2625293491046</v>
      </c>
      <c r="L22" s="262">
        <f>VLOOKUP(B22,'Emissions Rates'!E97:I126,5)</f>
        <v>69</v>
      </c>
      <c r="M22" s="262">
        <f t="shared" si="4"/>
        <v>108969.11452508823</v>
      </c>
      <c r="N22" s="262">
        <f t="shared" si="5"/>
        <v>74203</v>
      </c>
      <c r="O22" s="262">
        <f t="shared" si="6"/>
        <v>19208</v>
      </c>
      <c r="P22" s="264">
        <f t="shared" si="7"/>
        <v>93411</v>
      </c>
      <c r="X22" s="253"/>
      <c r="Z22" s="253"/>
    </row>
    <row r="23" spans="2:26" x14ac:dyDescent="0.3">
      <c r="B23" s="259">
        <f>'Maint Delays Avoidance'!B28</f>
        <v>2035</v>
      </c>
      <c r="C23" s="260">
        <f>TT_Savings!D24/TT_Savings!$B$11</f>
        <v>287411.01543104148</v>
      </c>
      <c r="D23" s="260">
        <f>'Maint Delays Avoidance'!E28*(1-'Maint Delays Avoidance'!$C$12)</f>
        <v>54605.95445708069</v>
      </c>
      <c r="E23" s="260">
        <f>'DMS Delay Avoidance'!F26/'DMS Delay Avoidance'!$C$14</f>
        <v>311074.97697096108</v>
      </c>
      <c r="F23" s="260">
        <f>SignalCoord!E26</f>
        <v>13619.476689415214</v>
      </c>
      <c r="G23" s="260">
        <f t="shared" si="0"/>
        <v>666711.42354849842</v>
      </c>
      <c r="H23" s="261">
        <f t="shared" si="1"/>
        <v>2.5268362952488093</v>
      </c>
      <c r="I23" s="262">
        <f>VLOOKUP(B23,'Emissions Rates'!E98:I127,2)</f>
        <v>18900</v>
      </c>
      <c r="J23" s="262">
        <f t="shared" si="2"/>
        <v>47757.205980202496</v>
      </c>
      <c r="K23" s="263">
        <f t="shared" si="3"/>
        <v>1629.3960493528816</v>
      </c>
      <c r="L23" s="262">
        <f>VLOOKUP(B23,'Emissions Rates'!E98:I127,5)</f>
        <v>70</v>
      </c>
      <c r="M23" s="262">
        <f t="shared" si="4"/>
        <v>114057.72345470171</v>
      </c>
      <c r="N23" s="262">
        <f t="shared" si="5"/>
        <v>75406</v>
      </c>
      <c r="O23" s="262">
        <f t="shared" si="6"/>
        <v>18521</v>
      </c>
      <c r="P23" s="264">
        <f t="shared" si="7"/>
        <v>93927</v>
      </c>
      <c r="X23" s="253"/>
      <c r="Z23" s="253"/>
    </row>
    <row r="24" spans="2:26" x14ac:dyDescent="0.3">
      <c r="B24" s="259">
        <f>'Maint Delays Avoidance'!B29</f>
        <v>2036</v>
      </c>
      <c r="C24" s="260">
        <f>TT_Savings!D25/TT_Savings!$B$11</f>
        <v>296534.84736122511</v>
      </c>
      <c r="D24" s="260">
        <f>'Maint Delays Avoidance'!E29*(1-'Maint Delays Avoidance'!$C$12)</f>
        <v>56339.414638161332</v>
      </c>
      <c r="E24" s="260">
        <f>'DMS Delay Avoidance'!F27/'DMS Delay Avoidance'!$C$14</f>
        <v>320950.01882804593</v>
      </c>
      <c r="F24" s="260">
        <f>SignalCoord!E27</f>
        <v>14051.825519556322</v>
      </c>
      <c r="G24" s="260">
        <f t="shared" si="0"/>
        <v>687876.1063469887</v>
      </c>
      <c r="H24" s="261">
        <f t="shared" si="1"/>
        <v>2.6070504430550874</v>
      </c>
      <c r="I24" s="262">
        <f>VLOOKUP(B24,'Emissions Rates'!E99:I128,2)</f>
        <v>18900</v>
      </c>
      <c r="J24" s="262">
        <f t="shared" si="2"/>
        <v>49273.25337374115</v>
      </c>
      <c r="K24" s="263">
        <f t="shared" si="3"/>
        <v>1681.1210525845961</v>
      </c>
      <c r="L24" s="262">
        <f>VLOOKUP(B24,'Emissions Rates'!E99:I128,5)</f>
        <v>72</v>
      </c>
      <c r="M24" s="262">
        <f t="shared" si="4"/>
        <v>121040.71578609092</v>
      </c>
      <c r="N24" s="262">
        <f t="shared" si="5"/>
        <v>77691</v>
      </c>
      <c r="O24" s="262">
        <f t="shared" si="6"/>
        <v>17859</v>
      </c>
      <c r="P24" s="264">
        <f t="shared" si="7"/>
        <v>95550</v>
      </c>
      <c r="X24" s="253"/>
      <c r="Z24" s="253"/>
    </row>
    <row r="25" spans="2:26" x14ac:dyDescent="0.3">
      <c r="B25" s="259">
        <f>'Maint Delays Avoidance'!B30</f>
        <v>2037</v>
      </c>
      <c r="C25" s="260">
        <f>TT_Savings!D26/TT_Savings!$B$11</f>
        <v>305948.31435972865</v>
      </c>
      <c r="D25" s="260">
        <f>'Maint Delays Avoidance'!E30*(1-'Maint Delays Avoidance'!$C$12)</f>
        <v>58127.903327199929</v>
      </c>
      <c r="E25" s="260">
        <f>'DMS Delay Avoidance'!F28/'DMS Delay Avoidance'!$C$14</f>
        <v>331138.54283219622</v>
      </c>
      <c r="F25" s="260">
        <f>SignalCoord!E28</f>
        <v>14497.899217046381</v>
      </c>
      <c r="G25" s="260">
        <f t="shared" si="0"/>
        <v>709712.65973617113</v>
      </c>
      <c r="H25" s="261">
        <f t="shared" si="1"/>
        <v>2.6898109804000887</v>
      </c>
      <c r="I25" s="262">
        <f>VLOOKUP(B25,'Emissions Rates'!E100:I129,2)</f>
        <v>18900</v>
      </c>
      <c r="J25" s="262">
        <f t="shared" si="2"/>
        <v>50837.427529561675</v>
      </c>
      <c r="K25" s="263">
        <f t="shared" si="3"/>
        <v>1734.4880605090207</v>
      </c>
      <c r="L25" s="262">
        <f>VLOOKUP(B25,'Emissions Rates'!E100:I129,5)</f>
        <v>73</v>
      </c>
      <c r="M25" s="262">
        <f t="shared" si="4"/>
        <v>126617.62841715851</v>
      </c>
      <c r="N25" s="262">
        <f t="shared" si="5"/>
        <v>78904</v>
      </c>
      <c r="O25" s="262">
        <f t="shared" si="6"/>
        <v>17220</v>
      </c>
      <c r="P25" s="264">
        <f t="shared" si="7"/>
        <v>96124</v>
      </c>
      <c r="X25" s="253"/>
      <c r="Z25" s="253"/>
    </row>
    <row r="26" spans="2:26" x14ac:dyDescent="0.3">
      <c r="B26" s="259">
        <f>'Maint Delays Avoidance'!B31</f>
        <v>2038</v>
      </c>
      <c r="C26" s="260">
        <f>TT_Savings!D27/TT_Savings!$B$11</f>
        <v>315660.61086080311</v>
      </c>
      <c r="D26" s="260">
        <f>'Maint Delays Avoidance'!E31*(1-'Maint Delays Avoidance'!$C$12)</f>
        <v>59973.167398293197</v>
      </c>
      <c r="E26" s="260">
        <f>'DMS Delay Avoidance'!F29/'DMS Delay Avoidance'!$C$14</f>
        <v>341650.500440626</v>
      </c>
      <c r="F26" s="260">
        <f>SignalCoord!E29</f>
        <v>14958.133476330744</v>
      </c>
      <c r="G26" s="260">
        <f t="shared" si="0"/>
        <v>732242.41217605316</v>
      </c>
      <c r="H26" s="261">
        <f t="shared" si="1"/>
        <v>2.7751987421472415</v>
      </c>
      <c r="I26" s="262">
        <f>VLOOKUP(B26,'Emissions Rates'!E101:I130,2)</f>
        <v>18900</v>
      </c>
      <c r="J26" s="262">
        <f t="shared" si="2"/>
        <v>52451.256226582867</v>
      </c>
      <c r="K26" s="263">
        <f t="shared" si="3"/>
        <v>1789.5491983894215</v>
      </c>
      <c r="L26" s="262">
        <f>VLOOKUP(B26,'Emissions Rates'!E101:I130,5)</f>
        <v>74</v>
      </c>
      <c r="M26" s="262">
        <f t="shared" si="4"/>
        <v>132426.64068081719</v>
      </c>
      <c r="N26" s="262">
        <f t="shared" si="5"/>
        <v>80120</v>
      </c>
      <c r="O26" s="262">
        <f t="shared" si="6"/>
        <v>16605</v>
      </c>
      <c r="P26" s="264">
        <f t="shared" si="7"/>
        <v>96725</v>
      </c>
      <c r="X26" s="253"/>
      <c r="Z26" s="253"/>
    </row>
    <row r="27" spans="2:26" x14ac:dyDescent="0.3">
      <c r="B27" s="259">
        <f>'Maint Delays Avoidance'!B32</f>
        <v>2039</v>
      </c>
      <c r="C27" s="260">
        <f>TT_Savings!D28/TT_Savings!$B$11</f>
        <v>325681.22317503113</v>
      </c>
      <c r="D27" s="260">
        <f>'Maint Delays Avoidance'!E32*(1-'Maint Delays Avoidance'!$C$12)</f>
        <v>61877.009179869186</v>
      </c>
      <c r="E27" s="260">
        <f>'DMS Delay Avoidance'!F30/'DMS Delay Avoidance'!$C$14</f>
        <v>352496.15901849401</v>
      </c>
      <c r="F27" s="260">
        <f>SignalCoord!E30</f>
        <v>15432.977822928309</v>
      </c>
      <c r="G27" s="260">
        <f t="shared" si="0"/>
        <v>755487.36919632263</v>
      </c>
      <c r="H27" s="261">
        <f t="shared" si="1"/>
        <v>2.8632971292540628</v>
      </c>
      <c r="I27" s="262">
        <f>VLOOKUP(B27,'Emissions Rates'!E102:I131,2)</f>
        <v>18900</v>
      </c>
      <c r="J27" s="262">
        <f t="shared" si="2"/>
        <v>54116.315742901788</v>
      </c>
      <c r="K27" s="263">
        <f t="shared" si="3"/>
        <v>1846.3582461999688</v>
      </c>
      <c r="L27" s="262">
        <f>VLOOKUP(B27,'Emissions Rates'!E102:I131,5)</f>
        <v>75</v>
      </c>
      <c r="M27" s="262">
        <f t="shared" si="4"/>
        <v>138476.86846499765</v>
      </c>
      <c r="N27" s="262">
        <f t="shared" si="5"/>
        <v>81341</v>
      </c>
      <c r="O27" s="262">
        <f t="shared" si="6"/>
        <v>16011</v>
      </c>
      <c r="P27" s="264">
        <f t="shared" si="7"/>
        <v>97352</v>
      </c>
      <c r="X27" s="253"/>
      <c r="Z27" s="253"/>
    </row>
    <row r="28" spans="2:26" x14ac:dyDescent="0.3">
      <c r="B28" s="259">
        <f>'Maint Delays Avoidance'!B33</f>
        <v>2040</v>
      </c>
      <c r="C28" s="260">
        <f>TT_Savings!D29/TT_Savings!$B$11</f>
        <v>336019.93875490967</v>
      </c>
      <c r="D28" s="260">
        <f>'Maint Delays Avoidance'!E33*(1-'Maint Delays Avoidance'!$C$12)</f>
        <v>63841.288215078996</v>
      </c>
      <c r="E28" s="260">
        <f>'DMS Delay Avoidance'!F31/'DMS Delay Avoidance'!$C$14</f>
        <v>363686.11186736694</v>
      </c>
      <c r="F28" s="260">
        <f>SignalCoord!E31</f>
        <v>15922.896052497466</v>
      </c>
      <c r="G28" s="260">
        <f t="shared" si="0"/>
        <v>779470.23488985305</v>
      </c>
      <c r="H28" s="261">
        <f t="shared" si="1"/>
        <v>2.954192190232543</v>
      </c>
      <c r="I28" s="262">
        <f>VLOOKUP(B28,'Emissions Rates'!E103:I132,2)</f>
        <v>18900</v>
      </c>
      <c r="J28" s="262">
        <f t="shared" si="2"/>
        <v>55834.232395395062</v>
      </c>
      <c r="K28" s="263">
        <f t="shared" si="3"/>
        <v>1904.9706911543583</v>
      </c>
      <c r="L28" s="262">
        <f>VLOOKUP(B28,'Emissions Rates'!E103:I132,5)</f>
        <v>76</v>
      </c>
      <c r="M28" s="262">
        <f t="shared" si="4"/>
        <v>144777.77252773123</v>
      </c>
      <c r="N28" s="262">
        <f t="shared" si="5"/>
        <v>82565</v>
      </c>
      <c r="O28" s="262">
        <f t="shared" si="6"/>
        <v>15439</v>
      </c>
      <c r="P28" s="264">
        <f t="shared" si="7"/>
        <v>98004</v>
      </c>
      <c r="X28" s="253"/>
      <c r="Z28" s="253"/>
    </row>
    <row r="29" spans="2:26" x14ac:dyDescent="0.3">
      <c r="B29" s="259">
        <f>'Maint Delays Avoidance'!B34</f>
        <v>2041</v>
      </c>
      <c r="C29" s="260">
        <f>TT_Savings!D30/TT_Savings!$B$11</f>
        <v>346686.85575456778</v>
      </c>
      <c r="D29" s="260">
        <f>'Maint Delays Avoidance'!E34*(1-'Maint Delays Avoidance'!$C$12)</f>
        <v>65867.923078072083</v>
      </c>
      <c r="E29" s="260">
        <f>'DMS Delay Avoidance'!F32/'DMS Delay Avoidance'!$C$14</f>
        <v>375231.28857203625</v>
      </c>
      <c r="F29" s="260">
        <f>SignalCoord!E32</f>
        <v>16428.366683840159</v>
      </c>
      <c r="G29" s="260">
        <f t="shared" si="0"/>
        <v>804214.43408851628</v>
      </c>
      <c r="H29" s="261">
        <f t="shared" si="1"/>
        <v>3.0479727051954764</v>
      </c>
      <c r="I29" s="262">
        <f>VLOOKUP(B29,'Emissions Rates'!E104:I133,2)</f>
        <v>18900</v>
      </c>
      <c r="J29" s="262">
        <f t="shared" si="2"/>
        <v>57606.684128194502</v>
      </c>
      <c r="K29" s="263">
        <f t="shared" si="3"/>
        <v>1965.4437819019474</v>
      </c>
      <c r="L29" s="262">
        <f>VLOOKUP(B29,'Emissions Rates'!E104:I133,5)</f>
        <v>78</v>
      </c>
      <c r="M29" s="262">
        <f t="shared" si="4"/>
        <v>153304.61498835191</v>
      </c>
      <c r="N29" s="262">
        <f t="shared" si="5"/>
        <v>84881</v>
      </c>
      <c r="O29" s="262">
        <f t="shared" si="6"/>
        <v>14887</v>
      </c>
      <c r="P29" s="264">
        <f t="shared" si="7"/>
        <v>99768</v>
      </c>
      <c r="X29" s="253"/>
      <c r="Z29" s="253"/>
    </row>
    <row r="30" spans="2:26" x14ac:dyDescent="0.3">
      <c r="B30" s="259">
        <f>'Maint Delays Avoidance'!B35</f>
        <v>2042</v>
      </c>
      <c r="C30" s="260">
        <f>TT_Savings!D31/TT_Savings!$B$11</f>
        <v>357692.39289295708</v>
      </c>
      <c r="D30" s="260">
        <f>'Maint Delays Avoidance'!E35*(1-'Maint Delays Avoidance'!$C$12)</f>
        <v>67958.893247928994</v>
      </c>
      <c r="E30" s="260">
        <f>'DMS Delay Avoidance'!F33/'DMS Delay Avoidance'!$C$14</f>
        <v>387142.96567579336</v>
      </c>
      <c r="F30" s="260">
        <f>SignalCoord!E33</f>
        <v>16949.883426286477</v>
      </c>
      <c r="G30" s="260">
        <f t="shared" si="0"/>
        <v>829744.135242966</v>
      </c>
      <c r="H30" s="261">
        <f t="shared" si="1"/>
        <v>3.144730272570841</v>
      </c>
      <c r="I30" s="262">
        <f>VLOOKUP(B30,'Emissions Rates'!E105:I134,2)</f>
        <v>18900</v>
      </c>
      <c r="J30" s="262">
        <f t="shared" si="2"/>
        <v>59435.402151588896</v>
      </c>
      <c r="K30" s="263">
        <f t="shared" si="3"/>
        <v>2027.8365844443417</v>
      </c>
      <c r="L30" s="262">
        <f>VLOOKUP(B30,'Emissions Rates'!E105:I134,5)</f>
        <v>79</v>
      </c>
      <c r="M30" s="262">
        <f t="shared" si="4"/>
        <v>160199.09017110299</v>
      </c>
      <c r="N30" s="262">
        <f t="shared" si="5"/>
        <v>86115</v>
      </c>
      <c r="O30" s="262">
        <f t="shared" si="6"/>
        <v>14354</v>
      </c>
      <c r="P30" s="264">
        <f t="shared" si="7"/>
        <v>100469</v>
      </c>
      <c r="X30" s="253"/>
      <c r="Z30" s="253"/>
    </row>
    <row r="31" spans="2:26" x14ac:dyDescent="0.3">
      <c r="B31" s="259">
        <f>'Maint Delays Avoidance'!B36</f>
        <v>2043</v>
      </c>
      <c r="C31" s="260">
        <f>TT_Savings!D32/TT_Savings!$B$11</f>
        <v>369047.29963014706</v>
      </c>
      <c r="D31" s="260">
        <f>'Maint Delays Avoidance'!E36*(1-'Maint Delays Avoidance'!$C$12)</f>
        <v>70116.241042081878</v>
      </c>
      <c r="E31" s="260">
        <f>'DMS Delay Avoidance'!F34/'DMS Delay Avoidance'!$C$14</f>
        <v>399432.77769458934</v>
      </c>
      <c r="F31" s="260">
        <f>SignalCoord!E34</f>
        <v>17487.955661916385</v>
      </c>
      <c r="G31" s="260">
        <f t="shared" si="0"/>
        <v>856084.27402873465</v>
      </c>
      <c r="H31" s="261">
        <f t="shared" si="1"/>
        <v>3.2445593985689043</v>
      </c>
      <c r="I31" s="262">
        <f>VLOOKUP(B31,'Emissions Rates'!E106:I135,2)</f>
        <v>18900</v>
      </c>
      <c r="J31" s="262">
        <f t="shared" si="2"/>
        <v>61322.172632952293</v>
      </c>
      <c r="K31" s="263">
        <f t="shared" si="3"/>
        <v>2092.2100398270454</v>
      </c>
      <c r="L31" s="262">
        <f>VLOOKUP(B31,'Emissions Rates'!E106:I135,5)</f>
        <v>80</v>
      </c>
      <c r="M31" s="262">
        <f t="shared" si="4"/>
        <v>167376.80318616363</v>
      </c>
      <c r="N31" s="262">
        <f t="shared" si="5"/>
        <v>87353</v>
      </c>
      <c r="O31" s="262">
        <f t="shared" si="6"/>
        <v>13841</v>
      </c>
      <c r="P31" s="264">
        <f t="shared" si="7"/>
        <v>101194</v>
      </c>
      <c r="X31" s="253"/>
      <c r="Z31" s="253"/>
    </row>
    <row r="32" spans="2:26" x14ac:dyDescent="0.3">
      <c r="B32" s="259">
        <f>'Maint Delays Avoidance'!B37</f>
        <v>2044</v>
      </c>
      <c r="C32" s="260">
        <f>TT_Savings!D33/TT_Savings!$B$11</f>
        <v>380762.66666666721</v>
      </c>
      <c r="D32" s="260">
        <f>'Maint Delays Avoidance'!E37*(1-'Maint Delays Avoidance'!$C$12)</f>
        <v>72342.073611111206</v>
      </c>
      <c r="E32" s="260">
        <f>'DMS Delay Avoidance'!F35/'DMS Delay Avoidance'!$C$14</f>
        <v>412112.72848083981</v>
      </c>
      <c r="F32" s="260">
        <f>SignalCoord!E35</f>
        <v>18043.108943089461</v>
      </c>
      <c r="G32" s="260">
        <f t="shared" si="0"/>
        <v>883260.57770170772</v>
      </c>
      <c r="H32" s="261">
        <f t="shared" si="1"/>
        <v>3.3475575894894725</v>
      </c>
      <c r="I32" s="262">
        <f>VLOOKUP(B32,'Emissions Rates'!E107:I136,2)</f>
        <v>18900</v>
      </c>
      <c r="J32" s="262">
        <f t="shared" si="2"/>
        <v>63268.838441351028</v>
      </c>
      <c r="K32" s="263">
        <f t="shared" si="3"/>
        <v>2158.6270236625346</v>
      </c>
      <c r="L32" s="262">
        <f>VLOOKUP(B32,'Emissions Rates'!E107:I136,5)</f>
        <v>81</v>
      </c>
      <c r="M32" s="262">
        <f t="shared" si="4"/>
        <v>174848.7889166653</v>
      </c>
      <c r="N32" s="262">
        <f t="shared" si="5"/>
        <v>88594</v>
      </c>
      <c r="O32" s="262">
        <f t="shared" si="6"/>
        <v>13346</v>
      </c>
      <c r="P32" s="264">
        <f t="shared" si="7"/>
        <v>101940</v>
      </c>
      <c r="X32" s="253"/>
      <c r="Z32" s="253"/>
    </row>
    <row r="33" spans="2:26" x14ac:dyDescent="0.3">
      <c r="B33" s="259">
        <f>'Maint Delays Avoidance'!B38</f>
        <v>2045</v>
      </c>
      <c r="C33" s="260">
        <f>TT_Savings!D34/TT_Savings!$B$11</f>
        <v>380762.66666666669</v>
      </c>
      <c r="D33" s="260">
        <f>'Maint Delays Avoidance'!E38*(1-'Maint Delays Avoidance'!$C$12)</f>
        <v>72342.073611111104</v>
      </c>
      <c r="E33" s="260">
        <f>'DMS Delay Avoidance'!F36/'DMS Delay Avoidance'!$C$14</f>
        <v>425195.20294797007</v>
      </c>
      <c r="F33" s="260">
        <f>SignalCoord!E36</f>
        <v>18615.885505768707</v>
      </c>
      <c r="G33" s="260">
        <f t="shared" si="0"/>
        <v>896915.82873151661</v>
      </c>
      <c r="H33" s="261">
        <f t="shared" si="1"/>
        <v>3.3993109908924479</v>
      </c>
      <c r="I33" s="262">
        <f>VLOOKUP(B33,'Emissions Rates'!E108:I137,2)</f>
        <v>18900</v>
      </c>
      <c r="J33" s="262">
        <f t="shared" si="2"/>
        <v>64246.977727867263</v>
      </c>
      <c r="K33" s="263">
        <f t="shared" si="3"/>
        <v>2191.9995013118155</v>
      </c>
      <c r="L33" s="262">
        <f>VLOOKUP(B33,'Emissions Rates'!E108:I137,5)</f>
        <v>82</v>
      </c>
      <c r="M33" s="262">
        <f t="shared" si="4"/>
        <v>179743.95910756887</v>
      </c>
      <c r="N33" s="262">
        <f t="shared" si="5"/>
        <v>88422</v>
      </c>
      <c r="O33" s="262">
        <f t="shared" si="6"/>
        <v>12666</v>
      </c>
      <c r="P33" s="264">
        <f t="shared" si="7"/>
        <v>101088</v>
      </c>
      <c r="X33" s="253"/>
      <c r="Z33" s="253"/>
    </row>
    <row r="34" spans="2:26" x14ac:dyDescent="0.3">
      <c r="B34" s="353">
        <f>'Maint Delays Avoidance'!B39</f>
        <v>2046</v>
      </c>
      <c r="C34" s="354">
        <f>TT_Savings!D35/TT_Savings!$B$11</f>
        <v>392849.93677614763</v>
      </c>
      <c r="D34" s="260">
        <f>'Maint Delays Avoidance'!E39*(1-'Maint Delays Avoidance'!$C$12)</f>
        <v>74638.564996867019</v>
      </c>
      <c r="E34" s="354">
        <f>'DMS Delay Avoidance'!F37/'DMS Delay Avoidance'!$C$14</f>
        <v>438692.97916715743</v>
      </c>
      <c r="F34" s="354">
        <f>SignalCoord!E37</f>
        <v>19206.844799139726</v>
      </c>
      <c r="G34" s="354">
        <f t="shared" si="0"/>
        <v>925388.32573931187</v>
      </c>
      <c r="H34" s="355">
        <f t="shared" si="1"/>
        <v>3.5072217545519919</v>
      </c>
      <c r="I34" s="356">
        <f>VLOOKUP(B34,'Emissions Rates'!E109:I138,2)</f>
        <v>18900</v>
      </c>
      <c r="J34" s="356">
        <f t="shared" si="2"/>
        <v>66286.491161032653</v>
      </c>
      <c r="K34" s="357">
        <f t="shared" si="3"/>
        <v>2261.5842909240764</v>
      </c>
      <c r="L34" s="356">
        <f>VLOOKUP(B34,'Emissions Rates'!E109:I138,5)</f>
        <v>84</v>
      </c>
      <c r="M34" s="356">
        <f t="shared" si="4"/>
        <v>189973.08043762241</v>
      </c>
      <c r="N34" s="356">
        <f t="shared" si="5"/>
        <v>90732</v>
      </c>
      <c r="O34" s="356">
        <f t="shared" si="6"/>
        <v>12213</v>
      </c>
      <c r="P34" s="358">
        <f t="shared" si="7"/>
        <v>102945</v>
      </c>
      <c r="X34" s="253"/>
      <c r="Z34" s="253"/>
    </row>
    <row r="35" spans="2:26" x14ac:dyDescent="0.3">
      <c r="B35" s="272">
        <f>'Maint Delays Avoidance'!B40</f>
        <v>2047</v>
      </c>
      <c r="C35" s="365">
        <f>TT_Savings!D36/TT_Savings!$B$11</f>
        <v>405320.91598184482</v>
      </c>
      <c r="D35" s="260">
        <f>'Maint Delays Avoidance'!E40*(1-'Maint Delays Avoidance'!$C$12)</f>
        <v>77007.958255925652</v>
      </c>
      <c r="E35" s="365">
        <f>'DMS Delay Avoidance'!F38/'DMS Delay Avoidance'!$C$14</f>
        <v>452619.24084808119</v>
      </c>
      <c r="F35" s="365">
        <f>SignalCoord!E38</f>
        <v>19816.564032042676</v>
      </c>
      <c r="G35" s="365">
        <f t="shared" si="0"/>
        <v>954764.67911789427</v>
      </c>
      <c r="H35" s="366">
        <f t="shared" si="1"/>
        <v>3.6185581338568196</v>
      </c>
      <c r="I35" s="277">
        <f>VLOOKUP(B35,'Emissions Rates'!E110:I139,2)</f>
        <v>18900</v>
      </c>
      <c r="J35" s="277">
        <f t="shared" si="2"/>
        <v>68390.748729893894</v>
      </c>
      <c r="K35" s="367">
        <f t="shared" si="3"/>
        <v>2333.3780422365953</v>
      </c>
      <c r="L35" s="277">
        <f>VLOOKUP(B35,'Emissions Rates'!E110:I139,5)</f>
        <v>85</v>
      </c>
      <c r="M35" s="277">
        <f t="shared" si="4"/>
        <v>198337.13359011061</v>
      </c>
      <c r="N35" s="277">
        <f t="shared" si="5"/>
        <v>91968</v>
      </c>
      <c r="O35" s="277">
        <f t="shared" si="6"/>
        <v>11777</v>
      </c>
      <c r="P35" s="368">
        <f t="shared" si="7"/>
        <v>103745</v>
      </c>
      <c r="X35" s="253"/>
      <c r="Z35" s="253"/>
    </row>
    <row r="36" spans="2:26" ht="14.4" thickBot="1" x14ac:dyDescent="0.35">
      <c r="B36" s="359">
        <f>'Maint Delays Avoidance'!B41</f>
        <v>2048</v>
      </c>
      <c r="C36" s="360">
        <f>TT_Savings!D37/TT_Savings!$B$11</f>
        <v>418187.78508795862</v>
      </c>
      <c r="D36" s="460">
        <f>'Maint Delays Avoidance'!E41*(1-'Maint Delays Avoidance'!$C$12)</f>
        <v>79452.567650454032</v>
      </c>
      <c r="E36" s="360">
        <f>'DMS Delay Avoidance'!F39/'DMS Delay Avoidance'!$C$14</f>
        <v>466987.59021587367</v>
      </c>
      <c r="F36" s="360">
        <f>SignalCoord!E39</f>
        <v>20445.638736750578</v>
      </c>
      <c r="G36" s="360">
        <f t="shared" ref="G36" si="8">SUM(C36:F36)</f>
        <v>985073.58169103693</v>
      </c>
      <c r="H36" s="361">
        <f t="shared" ref="H36" si="9">SUM(G36/$B$12)*$B$7</f>
        <v>3.7334288746090301</v>
      </c>
      <c r="I36" s="362">
        <f>VLOOKUP(B36,'Emissions Rates'!E111:I140,2)</f>
        <v>18900</v>
      </c>
      <c r="J36" s="369">
        <f>SUM(I36*H36)*Inputs!$B$12</f>
        <v>35280.902865055337</v>
      </c>
      <c r="K36" s="363">
        <f t="shared" ref="K36" si="10">SUM(G36/$B$12)*$B$8</f>
        <v>2407.4508785021758</v>
      </c>
      <c r="L36" s="362">
        <f>VLOOKUP(B36,'Emissions Rates'!E111:I140,5)</f>
        <v>86</v>
      </c>
      <c r="M36" s="369">
        <f>SUM(L36*K36)*Inputs!$B$12</f>
        <v>103520.38777559355</v>
      </c>
      <c r="N36" s="362">
        <f t="shared" ref="N36" si="11">ROUND(M36/((1+B$3)^($B36-$B$4)),0)</f>
        <v>46604</v>
      </c>
      <c r="O36" s="362">
        <f t="shared" ref="O36" si="12">ROUND(J36/((1+B$2)^($B36-$B$4)),0)</f>
        <v>5678</v>
      </c>
      <c r="P36" s="364">
        <f t="shared" ref="P36" si="13">SUM(N36:O36)</f>
        <v>52282</v>
      </c>
      <c r="X36" s="253"/>
      <c r="Z36" s="253"/>
    </row>
    <row r="37" spans="2:26" x14ac:dyDescent="0.3">
      <c r="K37" s="248">
        <f>SUM(K16:K36)</f>
        <v>38109.586435372992</v>
      </c>
      <c r="O37" s="265">
        <f>SUM(P16:P36)</f>
        <v>1937968</v>
      </c>
    </row>
    <row r="39" spans="2:26" ht="55.2" x14ac:dyDescent="0.3">
      <c r="B39" s="266" t="s">
        <v>133</v>
      </c>
      <c r="C39" s="267" t="s">
        <v>375</v>
      </c>
      <c r="D39" s="267" t="s">
        <v>376</v>
      </c>
      <c r="E39" s="256" t="s">
        <v>377</v>
      </c>
      <c r="F39" s="267" t="s">
        <v>378</v>
      </c>
      <c r="G39" s="268" t="s">
        <v>366</v>
      </c>
      <c r="H39" s="269" t="s">
        <v>367</v>
      </c>
      <c r="I39" s="268" t="s">
        <v>368</v>
      </c>
      <c r="J39" s="268" t="s">
        <v>379</v>
      </c>
      <c r="K39" s="267" t="s">
        <v>380</v>
      </c>
      <c r="L39" s="268" t="s">
        <v>381</v>
      </c>
      <c r="M39" s="268" t="s">
        <v>369</v>
      </c>
      <c r="N39" s="267" t="s">
        <v>370</v>
      </c>
      <c r="O39" s="268" t="s">
        <v>371</v>
      </c>
      <c r="P39" s="270" t="s">
        <v>372</v>
      </c>
      <c r="Q39" s="268" t="s">
        <v>373</v>
      </c>
      <c r="R39" s="271" t="s">
        <v>374</v>
      </c>
    </row>
    <row r="40" spans="2:26" x14ac:dyDescent="0.3">
      <c r="B40" s="272">
        <f t="shared" ref="B40:B60" si="14">B16</f>
        <v>2028</v>
      </c>
      <c r="C40" s="273">
        <f>TT_Savings!J17</f>
        <v>14740.781571646441</v>
      </c>
      <c r="D40" s="274">
        <f>'Maint Delays Avoidance'!I21</f>
        <v>2800.6388201785107</v>
      </c>
      <c r="E40" s="274">
        <f>'DMS Delay Avoidance'!I19</f>
        <v>15954.462570117043</v>
      </c>
      <c r="F40" s="274">
        <f>SignalCoord!F19</f>
        <v>698.5178723846401</v>
      </c>
      <c r="G40" s="275">
        <f>SUM(C40:F40)/$B$12*$B$9</f>
        <v>1.0375607045159732</v>
      </c>
      <c r="H40" s="276">
        <f t="shared" ref="H40:H60" si="15">I16</f>
        <v>18200</v>
      </c>
      <c r="I40" s="370">
        <f>SUM(H40*G40)*Inputs!$B$12</f>
        <v>9441.8024110953556</v>
      </c>
      <c r="J40" s="275">
        <f>SUM(C40:F40)/$B$12*$B$10</f>
        <v>3.737448011191901E-2</v>
      </c>
      <c r="K40" s="277">
        <f>VLOOKUP(B40,'Emissions Rates'!E91:I120,4)</f>
        <v>879400</v>
      </c>
      <c r="L40" s="352">
        <f>SUM(K40*J40)*Inputs!$B$12</f>
        <v>16433.55890521079</v>
      </c>
      <c r="M40" s="275">
        <f>SUM(C40:F40)/$B$12*$B$11</f>
        <v>0.65157430789809401</v>
      </c>
      <c r="N40" s="277">
        <f t="shared" ref="N40:N60" si="16">L16</f>
        <v>62</v>
      </c>
      <c r="O40" s="392">
        <f>SUM(N40*M40)*Inputs!$B$12</f>
        <v>20.198803544840914</v>
      </c>
      <c r="P40" s="278">
        <f>ROUND((O40)/((1+B$3)^($B40-$B$4)),0)</f>
        <v>16</v>
      </c>
      <c r="Q40" s="278">
        <f>ROUND(SUM(L40,I40)/((1+B$2)^($B40-$B$4)),0)</f>
        <v>16114</v>
      </c>
      <c r="R40" s="279">
        <f>SUM(P40:Q40)</f>
        <v>16130</v>
      </c>
    </row>
    <row r="41" spans="2:26" x14ac:dyDescent="0.3">
      <c r="B41" s="272">
        <f t="shared" si="14"/>
        <v>2029</v>
      </c>
      <c r="C41" s="273">
        <f>TT_Savings!J18</f>
        <v>15208.72610528774</v>
      </c>
      <c r="D41" s="274">
        <f>'Maint Delays Avoidance'!I22</f>
        <v>2889.5447998401964</v>
      </c>
      <c r="E41" s="274">
        <f>'DMS Delay Avoidance'!I20</f>
        <v>16460.935277183762</v>
      </c>
      <c r="F41" s="274">
        <f>SignalCoord!F20</f>
        <v>720.69224749795592</v>
      </c>
      <c r="G41" s="275">
        <f t="shared" ref="G41:G59" si="17">SUM(C41:F41)/$B$12*$B$9</f>
        <v>1.0704979580557143</v>
      </c>
      <c r="H41" s="276">
        <f t="shared" si="15"/>
        <v>18600</v>
      </c>
      <c r="I41" s="275">
        <f t="shared" ref="I41:I59" si="18">SUM(H41*G41)</f>
        <v>19911.262019836286</v>
      </c>
      <c r="J41" s="275">
        <f t="shared" ref="J41:J59" si="19">SUM(C41:F41)/$B$12*$B$10</f>
        <v>3.8560928983781953E-2</v>
      </c>
      <c r="K41" s="277">
        <f>VLOOKUP(B41,'Emissions Rates'!E92:I121,4)</f>
        <v>893400</v>
      </c>
      <c r="L41" s="262">
        <f t="shared" ref="L41:L59" si="20">SUM(K41*J41)</f>
        <v>34450.3339541108</v>
      </c>
      <c r="M41" s="275">
        <f t="shared" ref="M41:M59" si="21">SUM(C41:F41)/$B$12*$B$11</f>
        <v>0.67225846458002303</v>
      </c>
      <c r="N41" s="277">
        <f t="shared" si="16"/>
        <v>63</v>
      </c>
      <c r="O41" s="393">
        <f t="shared" ref="O41:O58" si="22">SUM(N41*M41)</f>
        <v>42.352283268541449</v>
      </c>
      <c r="P41" s="278">
        <f t="shared" ref="P41:P59" si="23">ROUND((O41)/((1+B$3)^($B41-$B$4)),0)</f>
        <v>33</v>
      </c>
      <c r="Q41" s="278">
        <f t="shared" ref="Q41:Q59" si="24">ROUND(SUM(L41,I41)/((1+B$2)^($B41-$B$4)),0)</f>
        <v>31639</v>
      </c>
      <c r="R41" s="279">
        <f t="shared" ref="R41:R59" si="25">SUM(P41:Q41)</f>
        <v>31672</v>
      </c>
    </row>
    <row r="42" spans="2:26" x14ac:dyDescent="0.3">
      <c r="B42" s="272">
        <f t="shared" si="14"/>
        <v>2030</v>
      </c>
      <c r="C42" s="273">
        <f>TT_Savings!J19</f>
        <v>15691.525488076655</v>
      </c>
      <c r="D42" s="274">
        <f>'Maint Delays Avoidance'!I23</f>
        <v>2981.2730903127776</v>
      </c>
      <c r="E42" s="274">
        <f>'DMS Delay Avoidance'!I21</f>
        <v>16983.485906140741</v>
      </c>
      <c r="F42" s="274">
        <f>SignalCoord!F21</f>
        <v>743.57054577645499</v>
      </c>
      <c r="G42" s="275">
        <f t="shared" si="17"/>
        <v>1.1044808011845939</v>
      </c>
      <c r="H42" s="276">
        <f t="shared" si="15"/>
        <v>18900</v>
      </c>
      <c r="I42" s="275">
        <f t="shared" si="18"/>
        <v>20874.687142388826</v>
      </c>
      <c r="J42" s="275">
        <f t="shared" si="19"/>
        <v>3.9785041548125143E-2</v>
      </c>
      <c r="K42" s="277">
        <f>VLOOKUP(B42,'Emissions Rates'!E93:I122,4)</f>
        <v>907600</v>
      </c>
      <c r="L42" s="262">
        <f t="shared" si="20"/>
        <v>36108.903709078382</v>
      </c>
      <c r="M42" s="275">
        <f t="shared" si="21"/>
        <v>0.69359923760249276</v>
      </c>
      <c r="N42" s="277">
        <f t="shared" si="16"/>
        <v>65</v>
      </c>
      <c r="O42" s="393">
        <f t="shared" si="22"/>
        <v>45.083950444162028</v>
      </c>
      <c r="P42" s="278">
        <f t="shared" si="23"/>
        <v>35</v>
      </c>
      <c r="Q42" s="278">
        <f t="shared" si="24"/>
        <v>30995</v>
      </c>
      <c r="R42" s="279">
        <f t="shared" si="25"/>
        <v>31030</v>
      </c>
    </row>
    <row r="43" spans="2:26" x14ac:dyDescent="0.3">
      <c r="B43" s="272">
        <f t="shared" si="14"/>
        <v>2031</v>
      </c>
      <c r="C43" s="273">
        <f>TT_Savings!J20</f>
        <v>16189.651285609818</v>
      </c>
      <c r="D43" s="274">
        <f>'Maint Delays Avoidance'!I24</f>
        <v>3075.9132855509429</v>
      </c>
      <c r="E43" s="274">
        <f>'DMS Delay Avoidance'!I22</f>
        <v>17522.624848897969</v>
      </c>
      <c r="F43" s="274">
        <f>SignalCoord!F22</f>
        <v>767.17511318569211</v>
      </c>
      <c r="G43" s="275">
        <f t="shared" si="17"/>
        <v>1.1395424260322355</v>
      </c>
      <c r="H43" s="276">
        <f t="shared" si="15"/>
        <v>18900</v>
      </c>
      <c r="I43" s="275">
        <f t="shared" si="18"/>
        <v>21537.351852009251</v>
      </c>
      <c r="J43" s="275">
        <f t="shared" si="19"/>
        <v>4.1048013434836154E-2</v>
      </c>
      <c r="K43" s="277">
        <f>VLOOKUP(B43,'Emissions Rates'!E94:I123,4)</f>
        <v>907600</v>
      </c>
      <c r="L43" s="262">
        <f t="shared" si="20"/>
        <v>37255.176993457295</v>
      </c>
      <c r="M43" s="275">
        <f t="shared" si="21"/>
        <v>0.71561747118097241</v>
      </c>
      <c r="N43" s="277">
        <f t="shared" si="16"/>
        <v>66</v>
      </c>
      <c r="O43" s="393">
        <f t="shared" si="22"/>
        <v>47.230753097944181</v>
      </c>
      <c r="P43" s="278">
        <f t="shared" si="23"/>
        <v>35</v>
      </c>
      <c r="Q43" s="278">
        <f t="shared" si="24"/>
        <v>29887</v>
      </c>
      <c r="R43" s="279">
        <f t="shared" si="25"/>
        <v>29922</v>
      </c>
    </row>
    <row r="44" spans="2:26" x14ac:dyDescent="0.3">
      <c r="B44" s="272">
        <f t="shared" si="14"/>
        <v>2032</v>
      </c>
      <c r="C44" s="273">
        <f>TT_Savings!J21</f>
        <v>16703.590033283275</v>
      </c>
      <c r="D44" s="274">
        <f>'Maint Delays Avoidance'!I25</f>
        <v>3173.5578236598835</v>
      </c>
      <c r="E44" s="274">
        <f>'DMS Delay Avoidance'!I23</f>
        <v>18078.878699701967</v>
      </c>
      <c r="F44" s="274">
        <f>SignalCoord!F23</f>
        <v>791.52900506150741</v>
      </c>
      <c r="G44" s="275">
        <f t="shared" si="17"/>
        <v>1.1757170784088644</v>
      </c>
      <c r="H44" s="276">
        <f t="shared" si="15"/>
        <v>18900</v>
      </c>
      <c r="I44" s="275">
        <f t="shared" si="18"/>
        <v>22221.052781927538</v>
      </c>
      <c r="J44" s="275">
        <f t="shared" si="19"/>
        <v>4.2351078228945349E-2</v>
      </c>
      <c r="K44" s="277">
        <f>VLOOKUP(B44,'Emissions Rates'!E95:I124,4)</f>
        <v>907600</v>
      </c>
      <c r="L44" s="262">
        <f t="shared" si="20"/>
        <v>38437.838600590796</v>
      </c>
      <c r="M44" s="275">
        <f t="shared" si="21"/>
        <v>0.73833467122831997</v>
      </c>
      <c r="N44" s="277">
        <f t="shared" si="16"/>
        <v>67</v>
      </c>
      <c r="O44" s="393">
        <f t="shared" si="22"/>
        <v>49.468422972297439</v>
      </c>
      <c r="P44" s="278">
        <f t="shared" si="23"/>
        <v>36</v>
      </c>
      <c r="Q44" s="278">
        <f t="shared" si="24"/>
        <v>28819</v>
      </c>
      <c r="R44" s="279">
        <f t="shared" si="25"/>
        <v>28855</v>
      </c>
    </row>
    <row r="45" spans="2:26" x14ac:dyDescent="0.3">
      <c r="B45" s="272">
        <f t="shared" si="14"/>
        <v>2033</v>
      </c>
      <c r="C45" s="273">
        <f>TT_Savings!J22</f>
        <v>17233.843711507147</v>
      </c>
      <c r="D45" s="274">
        <f>'Maint Delays Avoidance'!I26</f>
        <v>3274.3020771825509</v>
      </c>
      <c r="E45" s="274">
        <f>'DMS Delay Avoidance'!I24</f>
        <v>18652.790769477291</v>
      </c>
      <c r="F45" s="274">
        <f>SignalCoord!F24</f>
        <v>816.65600862891051</v>
      </c>
      <c r="G45" s="275">
        <f t="shared" si="17"/>
        <v>1.2130400912542878</v>
      </c>
      <c r="H45" s="276">
        <f t="shared" si="15"/>
        <v>18900</v>
      </c>
      <c r="I45" s="275">
        <f t="shared" si="18"/>
        <v>22926.457724706041</v>
      </c>
      <c r="J45" s="275">
        <f t="shared" si="19"/>
        <v>4.3695508675507914E-2</v>
      </c>
      <c r="K45" s="277">
        <f>VLOOKUP(B45,'Emissions Rates'!E96:I125,4)</f>
        <v>907600</v>
      </c>
      <c r="L45" s="262">
        <f t="shared" si="20"/>
        <v>39658.043673890985</v>
      </c>
      <c r="M45" s="275">
        <f t="shared" si="21"/>
        <v>0.76177302636029576</v>
      </c>
      <c r="N45" s="277">
        <f t="shared" si="16"/>
        <v>68</v>
      </c>
      <c r="O45" s="393">
        <f t="shared" si="22"/>
        <v>51.800565792500109</v>
      </c>
      <c r="P45" s="278">
        <f t="shared" si="23"/>
        <v>36</v>
      </c>
      <c r="Q45" s="278">
        <f t="shared" si="24"/>
        <v>27788</v>
      </c>
      <c r="R45" s="279">
        <f t="shared" si="25"/>
        <v>27824</v>
      </c>
    </row>
    <row r="46" spans="2:26" x14ac:dyDescent="0.3">
      <c r="B46" s="272">
        <f t="shared" si="14"/>
        <v>2034</v>
      </c>
      <c r="C46" s="273">
        <f>TT_Savings!J23</f>
        <v>17780.930236005956</v>
      </c>
      <c r="D46" s="274">
        <f>'Maint Delays Avoidance'!I27</f>
        <v>3378.2444462530666</v>
      </c>
      <c r="E46" s="274">
        <f>'DMS Delay Avoidance'!I25</f>
        <v>19244.92161649566</v>
      </c>
      <c r="F46" s="274">
        <f>SignalCoord!F25</f>
        <v>842.58066623582283</v>
      </c>
      <c r="G46" s="275">
        <f t="shared" si="17"/>
        <v>1.2515479191487067</v>
      </c>
      <c r="H46" s="276">
        <f t="shared" si="15"/>
        <v>18900</v>
      </c>
      <c r="I46" s="275">
        <f t="shared" si="18"/>
        <v>23654.255671910556</v>
      </c>
      <c r="J46" s="275">
        <f t="shared" si="19"/>
        <v>4.5082617922734616E-2</v>
      </c>
      <c r="K46" s="277">
        <f>VLOOKUP(B46,'Emissions Rates'!E97:I126,4)</f>
        <v>907600</v>
      </c>
      <c r="L46" s="262">
        <f t="shared" si="20"/>
        <v>40916.984026673941</v>
      </c>
      <c r="M46" s="275">
        <f t="shared" si="21"/>
        <v>0.78595542956789399</v>
      </c>
      <c r="N46" s="277">
        <f t="shared" si="16"/>
        <v>69</v>
      </c>
      <c r="O46" s="393">
        <f t="shared" si="22"/>
        <v>54.230924640184682</v>
      </c>
      <c r="P46" s="278">
        <f t="shared" si="23"/>
        <v>37</v>
      </c>
      <c r="Q46" s="278">
        <f t="shared" si="24"/>
        <v>26795</v>
      </c>
      <c r="R46" s="279">
        <f t="shared" si="25"/>
        <v>26832</v>
      </c>
    </row>
    <row r="47" spans="2:26" x14ac:dyDescent="0.3">
      <c r="B47" s="272">
        <f t="shared" si="14"/>
        <v>2035</v>
      </c>
      <c r="C47" s="273">
        <f>TT_Savings!J24</f>
        <v>18345.3839636835</v>
      </c>
      <c r="D47" s="274">
        <f>'Maint Delays Avoidance'!I28</f>
        <v>3485.486454707278</v>
      </c>
      <c r="E47" s="274">
        <f>'DMS Delay Avoidance'!I26</f>
        <v>19855.849593891133</v>
      </c>
      <c r="F47" s="274">
        <f>SignalCoord!F26</f>
        <v>869.32829932437539</v>
      </c>
      <c r="G47" s="275">
        <f t="shared" si="17"/>
        <v>1.2912781739190695</v>
      </c>
      <c r="H47" s="276">
        <f t="shared" si="15"/>
        <v>18900</v>
      </c>
      <c r="I47" s="275">
        <f t="shared" si="18"/>
        <v>24405.157487070413</v>
      </c>
      <c r="J47" s="275">
        <f t="shared" si="19"/>
        <v>4.651376080458567E-2</v>
      </c>
      <c r="K47" s="277">
        <f>VLOOKUP(B47,'Emissions Rates'!E98:I127,4)</f>
        <v>907600</v>
      </c>
      <c r="L47" s="262">
        <f t="shared" si="20"/>
        <v>42215.889306241952</v>
      </c>
      <c r="M47" s="275">
        <f t="shared" si="21"/>
        <v>0.81090550057765787</v>
      </c>
      <c r="N47" s="277">
        <f t="shared" si="16"/>
        <v>70</v>
      </c>
      <c r="O47" s="393">
        <f t="shared" si="22"/>
        <v>56.763385040436049</v>
      </c>
      <c r="P47" s="278">
        <f t="shared" si="23"/>
        <v>38</v>
      </c>
      <c r="Q47" s="278">
        <f t="shared" si="24"/>
        <v>25837</v>
      </c>
      <c r="R47" s="279">
        <f t="shared" si="25"/>
        <v>25875</v>
      </c>
    </row>
    <row r="48" spans="2:26" x14ac:dyDescent="0.3">
      <c r="B48" s="272">
        <f t="shared" si="14"/>
        <v>2036</v>
      </c>
      <c r="C48" s="273">
        <f>TT_Savings!J25</f>
        <v>18927.756214546283</v>
      </c>
      <c r="D48" s="274">
        <f>'Maint Delays Avoidance'!I29</f>
        <v>3596.1328492443404</v>
      </c>
      <c r="E48" s="274">
        <f>'DMS Delay Avoidance'!I27</f>
        <v>20486.171414556124</v>
      </c>
      <c r="F48" s="274">
        <f>SignalCoord!F27</f>
        <v>896.92503316316947</v>
      </c>
      <c r="G48" s="275">
        <f t="shared" si="17"/>
        <v>1.3322696613757452</v>
      </c>
      <c r="H48" s="276">
        <f t="shared" si="15"/>
        <v>18900</v>
      </c>
      <c r="I48" s="275">
        <f t="shared" si="18"/>
        <v>25179.896600001586</v>
      </c>
      <c r="J48" s="275">
        <f t="shared" si="19"/>
        <v>4.7990335164080335E-2</v>
      </c>
      <c r="K48" s="277">
        <f>VLOOKUP(B48,'Emissions Rates'!E99:I128,4)</f>
        <v>907600</v>
      </c>
      <c r="L48" s="262">
        <f t="shared" si="20"/>
        <v>43556.028194919309</v>
      </c>
      <c r="M48" s="275">
        <f t="shared" si="21"/>
        <v>0.83664760892182144</v>
      </c>
      <c r="N48" s="277">
        <f t="shared" si="16"/>
        <v>72</v>
      </c>
      <c r="O48" s="393">
        <f t="shared" si="22"/>
        <v>60.238627842371145</v>
      </c>
      <c r="P48" s="278">
        <f t="shared" si="23"/>
        <v>39</v>
      </c>
      <c r="Q48" s="278">
        <f t="shared" si="24"/>
        <v>24913</v>
      </c>
      <c r="R48" s="279">
        <f t="shared" si="25"/>
        <v>24952</v>
      </c>
    </row>
    <row r="49" spans="2:20" x14ac:dyDescent="0.3">
      <c r="B49" s="272">
        <f t="shared" si="14"/>
        <v>2037</v>
      </c>
      <c r="C49" s="273">
        <f>TT_Savings!J26</f>
        <v>19528.615810195446</v>
      </c>
      <c r="D49" s="274">
        <f>'Maint Delays Avoidance'!I30</f>
        <v>3710.2917017361656</v>
      </c>
      <c r="E49" s="274">
        <f>'DMS Delay Avoidance'!I28</f>
        <v>21136.502733969974</v>
      </c>
      <c r="F49" s="274">
        <f>SignalCoord!F28</f>
        <v>925.3978223646626</v>
      </c>
      <c r="G49" s="275">
        <f t="shared" si="17"/>
        <v>1.3745624192154027</v>
      </c>
      <c r="H49" s="276">
        <f t="shared" si="15"/>
        <v>18900</v>
      </c>
      <c r="I49" s="275">
        <f t="shared" si="18"/>
        <v>25979.229723171109</v>
      </c>
      <c r="J49" s="275">
        <f t="shared" si="19"/>
        <v>4.9513783218615007E-2</v>
      </c>
      <c r="K49" s="277">
        <f>VLOOKUP(B49,'Emissions Rates'!E100:I129,4)</f>
        <v>907600</v>
      </c>
      <c r="L49" s="262">
        <f t="shared" si="20"/>
        <v>44938.709649214979</v>
      </c>
      <c r="M49" s="275">
        <f t="shared" si="21"/>
        <v>0.86320689774081327</v>
      </c>
      <c r="N49" s="277">
        <f t="shared" si="16"/>
        <v>73</v>
      </c>
      <c r="O49" s="393">
        <f t="shared" si="22"/>
        <v>63.014103535079371</v>
      </c>
      <c r="P49" s="278">
        <f t="shared" si="23"/>
        <v>39</v>
      </c>
      <c r="Q49" s="278">
        <f t="shared" si="24"/>
        <v>24022</v>
      </c>
      <c r="R49" s="279">
        <f t="shared" si="25"/>
        <v>24061</v>
      </c>
    </row>
    <row r="50" spans="2:20" x14ac:dyDescent="0.3">
      <c r="B50" s="272">
        <f t="shared" si="14"/>
        <v>2038</v>
      </c>
      <c r="C50" s="273">
        <f>TT_Savings!J27</f>
        <v>20148.549629412963</v>
      </c>
      <c r="D50" s="274">
        <f>'Maint Delays Avoidance'!I31</f>
        <v>3828.0745147846724</v>
      </c>
      <c r="E50" s="274">
        <f>'DMS Delay Avoidance'!I29</f>
        <v>21807.478751529321</v>
      </c>
      <c r="F50" s="274">
        <f>SignalCoord!F29</f>
        <v>954.7744772126008</v>
      </c>
      <c r="G50" s="275">
        <f t="shared" si="17"/>
        <v>1.4181977561271051</v>
      </c>
      <c r="H50" s="276">
        <f t="shared" si="15"/>
        <v>18900</v>
      </c>
      <c r="I50" s="275">
        <f t="shared" si="18"/>
        <v>26803.937590802285</v>
      </c>
      <c r="J50" s="275">
        <f t="shared" si="19"/>
        <v>5.1085592968622938E-2</v>
      </c>
      <c r="K50" s="277">
        <f>VLOOKUP(B50,'Emissions Rates'!E101:I130,4)</f>
        <v>907600</v>
      </c>
      <c r="L50" s="262">
        <f t="shared" si="20"/>
        <v>46365.284178322181</v>
      </c>
      <c r="M50" s="275">
        <f t="shared" si="21"/>
        <v>0.89060930834136331</v>
      </c>
      <c r="N50" s="277">
        <f t="shared" si="16"/>
        <v>74</v>
      </c>
      <c r="O50" s="393">
        <f t="shared" si="22"/>
        <v>65.905088817260889</v>
      </c>
      <c r="P50" s="278">
        <f t="shared" si="23"/>
        <v>40</v>
      </c>
      <c r="Q50" s="278">
        <f t="shared" si="24"/>
        <v>23164</v>
      </c>
      <c r="R50" s="279">
        <f t="shared" si="25"/>
        <v>23204</v>
      </c>
    </row>
    <row r="51" spans="2:20" x14ac:dyDescent="0.3">
      <c r="B51" s="272">
        <f t="shared" si="14"/>
        <v>2039</v>
      </c>
      <c r="C51" s="273">
        <f>TT_Savings!J28</f>
        <v>20788.16318138496</v>
      </c>
      <c r="D51" s="274">
        <f>'Maint Delays Avoidance'!I32</f>
        <v>3949.5963306299482</v>
      </c>
      <c r="E51" s="274">
        <f>'DMS Delay Avoidance'!I30</f>
        <v>22499.754830967704</v>
      </c>
      <c r="F51" s="274">
        <f>SignalCoord!F30</f>
        <v>985.08369082521119</v>
      </c>
      <c r="G51" s="275">
        <f t="shared" si="17"/>
        <v>1.4632182921398307</v>
      </c>
      <c r="H51" s="276">
        <f t="shared" si="15"/>
        <v>18900</v>
      </c>
      <c r="I51" s="275">
        <f t="shared" si="18"/>
        <v>27654.825721442801</v>
      </c>
      <c r="J51" s="275">
        <f t="shared" si="19"/>
        <v>5.2707299650951951E-2</v>
      </c>
      <c r="K51" s="277">
        <f>VLOOKUP(B51,'Emissions Rates'!E102:I131,4)</f>
        <v>907600</v>
      </c>
      <c r="L51" s="262">
        <f t="shared" si="20"/>
        <v>47837.14516320399</v>
      </c>
      <c r="M51" s="275">
        <f t="shared" si="21"/>
        <v>0.91888160553420806</v>
      </c>
      <c r="N51" s="277">
        <f t="shared" si="16"/>
        <v>75</v>
      </c>
      <c r="O51" s="393">
        <f t="shared" si="22"/>
        <v>68.916120415065606</v>
      </c>
      <c r="P51" s="278">
        <f t="shared" si="23"/>
        <v>40</v>
      </c>
      <c r="Q51" s="278">
        <f t="shared" si="24"/>
        <v>22335</v>
      </c>
      <c r="R51" s="279">
        <f t="shared" si="25"/>
        <v>22375</v>
      </c>
    </row>
    <row r="52" spans="2:20" x14ac:dyDescent="0.3">
      <c r="B52" s="272">
        <f t="shared" si="14"/>
        <v>2040</v>
      </c>
      <c r="C52" s="273">
        <f>TT_Savings!J29</f>
        <v>21448.081197121894</v>
      </c>
      <c r="D52" s="274">
        <f>'Maint Delays Avoidance'!I33</f>
        <v>4074.9758435156805</v>
      </c>
      <c r="E52" s="274">
        <f>'DMS Delay Avoidance'!I31</f>
        <v>23214.007140470228</v>
      </c>
      <c r="F52" s="274">
        <f>SignalCoord!F31</f>
        <v>1016.3550671806893</v>
      </c>
      <c r="G52" s="275">
        <f t="shared" si="17"/>
        <v>1.5096680002508176</v>
      </c>
      <c r="H52" s="276">
        <f t="shared" si="15"/>
        <v>18900</v>
      </c>
      <c r="I52" s="275">
        <f t="shared" si="18"/>
        <v>28532.725204740451</v>
      </c>
      <c r="J52" s="275">
        <f t="shared" si="19"/>
        <v>5.4380487238379314E-2</v>
      </c>
      <c r="K52" s="277">
        <f>VLOOKUP(B52,'Emissions Rates'!E103:I132,4)</f>
        <v>907600</v>
      </c>
      <c r="L52" s="262">
        <f t="shared" si="20"/>
        <v>49355.730217553064</v>
      </c>
      <c r="M52" s="275">
        <f t="shared" si="21"/>
        <v>0.94805140377613706</v>
      </c>
      <c r="N52" s="277">
        <f t="shared" si="16"/>
        <v>76</v>
      </c>
      <c r="O52" s="393">
        <f t="shared" si="22"/>
        <v>72.051906686986413</v>
      </c>
      <c r="P52" s="278">
        <f t="shared" si="23"/>
        <v>41</v>
      </c>
      <c r="Q52" s="278">
        <f t="shared" si="24"/>
        <v>21537</v>
      </c>
      <c r="R52" s="279">
        <f t="shared" si="25"/>
        <v>21578</v>
      </c>
    </row>
    <row r="53" spans="2:20" x14ac:dyDescent="0.3">
      <c r="B53" s="272">
        <f t="shared" si="14"/>
        <v>2041</v>
      </c>
      <c r="C53" s="273">
        <f>TT_Savings!J30</f>
        <v>22128.948239653262</v>
      </c>
      <c r="D53" s="274">
        <f>'Maint Delays Avoidance'!I34</f>
        <v>4204.3355156216221</v>
      </c>
      <c r="E53" s="274">
        <f>'DMS Delay Avoidance'!I32</f>
        <v>23950.933313108697</v>
      </c>
      <c r="F53" s="274">
        <f>SignalCoord!F32</f>
        <v>1048.6191500323505</v>
      </c>
      <c r="G53" s="275">
        <f t="shared" si="17"/>
        <v>1.5575922493753944</v>
      </c>
      <c r="H53" s="276">
        <f t="shared" si="15"/>
        <v>18900</v>
      </c>
      <c r="I53" s="275">
        <f t="shared" si="18"/>
        <v>29438.493513194953</v>
      </c>
      <c r="J53" s="275">
        <f t="shared" si="19"/>
        <v>5.6106789986728606E-2</v>
      </c>
      <c r="K53" s="277">
        <f>VLOOKUP(B53,'Emissions Rates'!E104:I133,4)</f>
        <v>907600</v>
      </c>
      <c r="L53" s="262">
        <f t="shared" si="20"/>
        <v>50922.522591954883</v>
      </c>
      <c r="M53" s="275">
        <f t="shared" si="21"/>
        <v>0.97814719414191542</v>
      </c>
      <c r="N53" s="277">
        <f t="shared" si="16"/>
        <v>78</v>
      </c>
      <c r="O53" s="393">
        <f t="shared" si="22"/>
        <v>76.295481143069409</v>
      </c>
      <c r="P53" s="278">
        <f t="shared" si="23"/>
        <v>42</v>
      </c>
      <c r="Q53" s="278">
        <f t="shared" si="24"/>
        <v>20767</v>
      </c>
      <c r="R53" s="279">
        <f t="shared" si="25"/>
        <v>20809</v>
      </c>
    </row>
    <row r="54" spans="2:20" x14ac:dyDescent="0.3">
      <c r="B54" s="272">
        <f t="shared" si="14"/>
        <v>2042</v>
      </c>
      <c r="C54" s="273">
        <f>TT_Savings!J31</f>
        <v>22831.429333593005</v>
      </c>
      <c r="D54" s="274">
        <f>'Maint Delays Avoidance'!I35</f>
        <v>4337.8016966763189</v>
      </c>
      <c r="E54" s="274">
        <f>'DMS Delay Avoidance'!I33</f>
        <v>24711.25312824213</v>
      </c>
      <c r="F54" s="274">
        <f>SignalCoord!F33</f>
        <v>1081.9074527416901</v>
      </c>
      <c r="G54" s="275">
        <f t="shared" si="17"/>
        <v>1.6070378486602539</v>
      </c>
      <c r="H54" s="276">
        <f t="shared" si="15"/>
        <v>18900</v>
      </c>
      <c r="I54" s="275">
        <f t="shared" si="18"/>
        <v>30373.015339678797</v>
      </c>
      <c r="J54" s="275">
        <f t="shared" si="19"/>
        <v>5.7887894031099674E-2</v>
      </c>
      <c r="K54" s="277">
        <f>VLOOKUP(B54,'Emissions Rates'!E105:I134,4)</f>
        <v>907600</v>
      </c>
      <c r="L54" s="262">
        <f t="shared" si="20"/>
        <v>52539.052622626063</v>
      </c>
      <c r="M54" s="275">
        <f t="shared" si="21"/>
        <v>1.0091983721524285</v>
      </c>
      <c r="N54" s="277">
        <f t="shared" si="16"/>
        <v>79</v>
      </c>
      <c r="O54" s="393">
        <f t="shared" si="22"/>
        <v>79.726671400041852</v>
      </c>
      <c r="P54" s="278">
        <f t="shared" si="23"/>
        <v>43</v>
      </c>
      <c r="Q54" s="278">
        <f t="shared" si="24"/>
        <v>20024</v>
      </c>
      <c r="R54" s="279">
        <f t="shared" si="25"/>
        <v>20067</v>
      </c>
    </row>
    <row r="55" spans="2:20" x14ac:dyDescent="0.3">
      <c r="B55" s="272">
        <f t="shared" si="14"/>
        <v>2043</v>
      </c>
      <c r="C55" s="273">
        <f>TT_Savings!J32</f>
        <v>23556.210614690241</v>
      </c>
      <c r="D55" s="274">
        <f>'Maint Delays Avoidance'!I36</f>
        <v>4475.5047473669292</v>
      </c>
      <c r="E55" s="274">
        <f>'DMS Delay Avoidance'!I34</f>
        <v>25495.709214548257</v>
      </c>
      <c r="F55" s="274">
        <f>SignalCoord!F34</f>
        <v>1116.2524890584928</v>
      </c>
      <c r="G55" s="275">
        <f t="shared" si="17"/>
        <v>1.6580530932034401</v>
      </c>
      <c r="H55" s="276">
        <f t="shared" si="15"/>
        <v>18900</v>
      </c>
      <c r="I55" s="275">
        <f t="shared" si="18"/>
        <v>31337.203461545017</v>
      </c>
      <c r="J55" s="275">
        <f t="shared" si="19"/>
        <v>5.9725539032770655E-2</v>
      </c>
      <c r="K55" s="277">
        <f>VLOOKUP(B55,'Emissions Rates'!E106:I135,4)</f>
        <v>907600</v>
      </c>
      <c r="L55" s="262">
        <f t="shared" si="20"/>
        <v>54206.899226142647</v>
      </c>
      <c r="M55" s="275">
        <f t="shared" si="21"/>
        <v>1.0412352664862259</v>
      </c>
      <c r="N55" s="277">
        <f t="shared" si="16"/>
        <v>80</v>
      </c>
      <c r="O55" s="393">
        <f t="shared" si="22"/>
        <v>83.298821318898064</v>
      </c>
      <c r="P55" s="278">
        <f t="shared" si="23"/>
        <v>43</v>
      </c>
      <c r="Q55" s="278">
        <f t="shared" si="24"/>
        <v>19308</v>
      </c>
      <c r="R55" s="279">
        <f t="shared" si="25"/>
        <v>19351</v>
      </c>
      <c r="T55" s="66" t="s">
        <v>382</v>
      </c>
    </row>
    <row r="56" spans="2:20" x14ac:dyDescent="0.3">
      <c r="B56" s="272">
        <f t="shared" si="14"/>
        <v>2044</v>
      </c>
      <c r="C56" s="273">
        <f>TT_Savings!J33</f>
        <v>24304.000000000029</v>
      </c>
      <c r="D56" s="274">
        <f>'Maint Delays Avoidance'!I37</f>
        <v>4617.5791666666728</v>
      </c>
      <c r="E56" s="274">
        <f>'DMS Delay Avoidance'!I35</f>
        <v>26305.067775372754</v>
      </c>
      <c r="F56" s="274">
        <f>SignalCoord!F35</f>
        <v>1151.6878048780507</v>
      </c>
      <c r="G56" s="275">
        <f t="shared" si="17"/>
        <v>1.710687811225718</v>
      </c>
      <c r="H56" s="276">
        <f t="shared" si="15"/>
        <v>18900</v>
      </c>
      <c r="I56" s="275">
        <f t="shared" si="18"/>
        <v>32331.999632166069</v>
      </c>
      <c r="J56" s="275">
        <f t="shared" si="19"/>
        <v>6.1621519878380833E-2</v>
      </c>
      <c r="K56" s="277">
        <f>VLOOKUP(B56,'Emissions Rates'!E107:I136,4)</f>
        <v>907600</v>
      </c>
      <c r="L56" s="262">
        <f t="shared" si="20"/>
        <v>55927.691441618445</v>
      </c>
      <c r="M56" s="275">
        <f t="shared" si="21"/>
        <v>1.0742891686025131</v>
      </c>
      <c r="N56" s="277">
        <f t="shared" si="16"/>
        <v>81</v>
      </c>
      <c r="O56" s="393">
        <f t="shared" si="22"/>
        <v>87.017422656803561</v>
      </c>
      <c r="P56" s="278">
        <f t="shared" si="23"/>
        <v>44</v>
      </c>
      <c r="Q56" s="278">
        <f t="shared" si="24"/>
        <v>18618</v>
      </c>
      <c r="R56" s="279">
        <f t="shared" si="25"/>
        <v>18662</v>
      </c>
    </row>
    <row r="57" spans="2:20" x14ac:dyDescent="0.3">
      <c r="B57" s="272">
        <f t="shared" si="14"/>
        <v>2045</v>
      </c>
      <c r="C57" s="273">
        <f>TT_Savings!J34</f>
        <v>24304</v>
      </c>
      <c r="D57" s="274">
        <f>'Maint Delays Avoidance'!I38</f>
        <v>4617.5791666666664</v>
      </c>
      <c r="E57" s="274">
        <f>'DMS Delay Avoidance'!I36</f>
        <v>27140.119337104468</v>
      </c>
      <c r="F57" s="274">
        <f>SignalCoord!F36</f>
        <v>1188.2480110065133</v>
      </c>
      <c r="G57" s="275">
        <f t="shared" si="17"/>
        <v>1.7371351270978981</v>
      </c>
      <c r="H57" s="276">
        <f t="shared" si="15"/>
        <v>18900</v>
      </c>
      <c r="I57" s="275">
        <f t="shared" si="18"/>
        <v>32831.853902150273</v>
      </c>
      <c r="J57" s="275">
        <f t="shared" si="19"/>
        <v>6.2574191540651969E-2</v>
      </c>
      <c r="K57" s="277">
        <f>VLOOKUP(B57,'Emissions Rates'!E108:I137,4)</f>
        <v>907600</v>
      </c>
      <c r="L57" s="262">
        <f t="shared" si="20"/>
        <v>56792.336242295729</v>
      </c>
      <c r="M57" s="275">
        <f t="shared" si="21"/>
        <v>1.0908977308390881</v>
      </c>
      <c r="N57" s="277">
        <f t="shared" si="16"/>
        <v>82</v>
      </c>
      <c r="O57" s="393">
        <f t="shared" si="22"/>
        <v>89.453613928805225</v>
      </c>
      <c r="P57" s="278">
        <f t="shared" si="23"/>
        <v>44</v>
      </c>
      <c r="Q57" s="278">
        <f t="shared" si="24"/>
        <v>17669</v>
      </c>
      <c r="R57" s="279">
        <f t="shared" si="25"/>
        <v>17713</v>
      </c>
    </row>
    <row r="58" spans="2:20" x14ac:dyDescent="0.3">
      <c r="B58" s="371">
        <f t="shared" si="14"/>
        <v>2046</v>
      </c>
      <c r="C58" s="372">
        <f>TT_Savings!J35</f>
        <v>25075.527879328576</v>
      </c>
      <c r="D58" s="373">
        <f>'Maint Delays Avoidance'!I39</f>
        <v>4764.1637232042776</v>
      </c>
      <c r="E58" s="373">
        <f>'DMS Delay Avoidance'!I37</f>
        <v>28001.679521307917</v>
      </c>
      <c r="F58" s="373">
        <f>SignalCoord!F37</f>
        <v>1225.9688169663657</v>
      </c>
      <c r="G58" s="374">
        <f t="shared" si="17"/>
        <v>1.792280295823911</v>
      </c>
      <c r="H58" s="375">
        <f t="shared" si="15"/>
        <v>18900</v>
      </c>
      <c r="I58" s="374">
        <f t="shared" si="18"/>
        <v>33874.097591071921</v>
      </c>
      <c r="J58" s="374">
        <f t="shared" si="19"/>
        <v>6.4560602555302202E-2</v>
      </c>
      <c r="K58" s="376">
        <f>VLOOKUP(B58,'Emissions Rates'!E109:I138,4)</f>
        <v>907600</v>
      </c>
      <c r="L58" s="356">
        <f t="shared" si="20"/>
        <v>58595.202879192278</v>
      </c>
      <c r="M58" s="374">
        <f t="shared" si="21"/>
        <v>1.1255281625720799</v>
      </c>
      <c r="N58" s="376">
        <f t="shared" si="16"/>
        <v>84</v>
      </c>
      <c r="O58" s="394">
        <f t="shared" si="22"/>
        <v>94.544365656054708</v>
      </c>
      <c r="P58" s="377">
        <f t="shared" si="23"/>
        <v>45</v>
      </c>
      <c r="Q58" s="377">
        <f t="shared" si="24"/>
        <v>17037</v>
      </c>
      <c r="R58" s="378">
        <f t="shared" si="25"/>
        <v>17082</v>
      </c>
    </row>
    <row r="59" spans="2:20" x14ac:dyDescent="0.3">
      <c r="B59" s="272">
        <f t="shared" si="14"/>
        <v>2047</v>
      </c>
      <c r="C59" s="387">
        <f>TT_Savings!J36</f>
        <v>25871.547828628394</v>
      </c>
      <c r="D59" s="365">
        <f>'Maint Delays Avoidance'!I40</f>
        <v>4915.4015908037654</v>
      </c>
      <c r="E59" s="365">
        <f>'DMS Delay Avoidance'!I38</f>
        <v>28890.589841366884</v>
      </c>
      <c r="F59" s="365">
        <f>SignalCoord!F38</f>
        <v>1264.8870658750645</v>
      </c>
      <c r="G59" s="388">
        <f t="shared" si="17"/>
        <v>1.8491760420302725</v>
      </c>
      <c r="H59" s="277">
        <f t="shared" si="15"/>
        <v>18900</v>
      </c>
      <c r="I59" s="388">
        <f t="shared" si="18"/>
        <v>34949.427194372154</v>
      </c>
      <c r="J59" s="388">
        <f t="shared" si="19"/>
        <v>6.6610071975054808E-2</v>
      </c>
      <c r="K59" s="277">
        <f>VLOOKUP(B59,'Emissions Rates'!E110:I139,4)</f>
        <v>907600</v>
      </c>
      <c r="L59" s="277">
        <f t="shared" si="20"/>
        <v>60455.301324559747</v>
      </c>
      <c r="M59" s="388">
        <f t="shared" si="21"/>
        <v>1.1612579336547753</v>
      </c>
      <c r="N59" s="277">
        <f t="shared" si="16"/>
        <v>85</v>
      </c>
      <c r="O59" s="395">
        <f>SUM(N59*M59)</f>
        <v>98.70692436065589</v>
      </c>
      <c r="P59" s="389">
        <f t="shared" si="23"/>
        <v>46</v>
      </c>
      <c r="Q59" s="389">
        <f t="shared" si="24"/>
        <v>16428</v>
      </c>
      <c r="R59" s="390">
        <f t="shared" si="25"/>
        <v>16474</v>
      </c>
    </row>
    <row r="60" spans="2:20" ht="14.4" thickBot="1" x14ac:dyDescent="0.35">
      <c r="B60" s="379">
        <f t="shared" si="14"/>
        <v>2048</v>
      </c>
      <c r="C60" s="380">
        <f>TT_Savings!J37</f>
        <v>26692.837346039909</v>
      </c>
      <c r="D60" s="381">
        <f>'Maint Delays Avoidance'!I41</f>
        <v>5071.4404883268535</v>
      </c>
      <c r="E60" s="381">
        <f>'DMS Delay Avoidance'!I39</f>
        <v>29807.718524417469</v>
      </c>
      <c r="F60" s="381">
        <f>SignalCoord!F39</f>
        <v>1305.040770430888</v>
      </c>
      <c r="G60" s="382">
        <f t="shared" ref="G60" si="26">SUM(C60:F60)/$B$12*$B$9</f>
        <v>1.9078779376117745</v>
      </c>
      <c r="H60" s="383">
        <f t="shared" si="15"/>
        <v>18900</v>
      </c>
      <c r="I60" s="391">
        <f>SUM(H60*G60)*Inputs!$B$12</f>
        <v>18029.446510431269</v>
      </c>
      <c r="J60" s="382">
        <f t="shared" ref="J60" si="27">SUM(C60:F60)/$B$12*$B$10</f>
        <v>6.872460158223212E-2</v>
      </c>
      <c r="K60" s="384">
        <f>VLOOKUP(B60,'Emissions Rates'!E111:I140,4)</f>
        <v>907600</v>
      </c>
      <c r="L60" s="369">
        <f>SUM(K60*J60)*Inputs!$B$12</f>
        <v>31187.224198016935</v>
      </c>
      <c r="M60" s="382">
        <f t="shared" ref="M60" si="28">SUM(C60:F60)/$B$12*$B$11</f>
        <v>1.1981219424971941</v>
      </c>
      <c r="N60" s="384">
        <f t="shared" si="16"/>
        <v>86</v>
      </c>
      <c r="O60" s="396">
        <f>SUM(N60*M60)*Inputs!$B$12</f>
        <v>51.519243527379345</v>
      </c>
      <c r="P60" s="385">
        <f t="shared" ref="P60" si="29">ROUND((O60)/((1+B$3)^($B60-$B$4)),0)</f>
        <v>23</v>
      </c>
      <c r="Q60" s="385">
        <f t="shared" ref="Q60" si="30">ROUND(SUM(L60,I60)/((1+B$2)^($B60-$B$4)),0)</f>
        <v>7920</v>
      </c>
      <c r="R60" s="386">
        <f t="shared" ref="R60" si="31">SUM(P60:Q60)</f>
        <v>7943</v>
      </c>
    </row>
    <row r="61" spans="2:20" x14ac:dyDescent="0.3">
      <c r="M61" s="280">
        <f>SUM(M40:M60)</f>
        <v>18.966090704256313</v>
      </c>
      <c r="R61" s="281">
        <f>SUM(R40:R60)</f>
        <v>472411</v>
      </c>
    </row>
  </sheetData>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D540E-5A63-4DF5-9D66-B15D45E06B94}">
  <dimension ref="A1:AO70"/>
  <sheetViews>
    <sheetView workbookViewId="0">
      <selection activeCell="F22" sqref="F22"/>
    </sheetView>
  </sheetViews>
  <sheetFormatPr defaultColWidth="9.109375" defaultRowHeight="14.4" x14ac:dyDescent="0.3"/>
  <cols>
    <col min="1" max="1" width="38.5546875" style="148" customWidth="1"/>
    <col min="2" max="2" width="10.33203125" style="3" customWidth="1"/>
    <col min="3" max="3" width="11.44140625" style="3" customWidth="1"/>
    <col min="4" max="4" width="14" style="3" customWidth="1"/>
    <col min="5" max="5" width="14.5546875" style="3" customWidth="1"/>
    <col min="6" max="6" width="12.33203125" style="3" customWidth="1"/>
    <col min="7" max="7" width="11" style="3" customWidth="1"/>
    <col min="8" max="8" width="17.33203125" style="3" customWidth="1"/>
    <col min="9" max="9" width="18.33203125" style="3" customWidth="1"/>
    <col min="10" max="10" width="14.5546875" style="3" customWidth="1"/>
    <col min="11" max="11" width="15.6640625" style="3" customWidth="1"/>
    <col min="12" max="12" width="18" style="3" customWidth="1"/>
    <col min="13" max="13" width="17.33203125" style="3" customWidth="1"/>
    <col min="14" max="14" width="18.33203125" style="3" customWidth="1"/>
    <col min="15" max="15" width="14.5546875" style="3" customWidth="1"/>
    <col min="16" max="16" width="15.6640625" style="3" customWidth="1"/>
    <col min="17" max="17" width="18" style="3" customWidth="1"/>
    <col min="18" max="18" width="17.33203125" style="3" customWidth="1"/>
    <col min="19" max="19" width="18.33203125" style="3" customWidth="1"/>
    <col min="20" max="20" width="14.5546875" style="3" customWidth="1"/>
    <col min="21" max="21" width="15.6640625" style="3" customWidth="1"/>
    <col min="22" max="22" width="18" style="3" customWidth="1"/>
    <col min="23" max="23" width="17.33203125" style="3" customWidth="1"/>
    <col min="24" max="24" width="18.33203125" style="3" customWidth="1"/>
    <col min="25" max="25" width="14.5546875" style="3" customWidth="1"/>
    <col min="26" max="26" width="15.6640625" style="3" customWidth="1"/>
    <col min="27" max="27" width="18" style="3" customWidth="1"/>
    <col min="28" max="28" width="17.33203125" style="3" customWidth="1"/>
    <col min="29" max="29" width="18.33203125" style="3" customWidth="1"/>
    <col min="30" max="30" width="14.5546875" style="3" customWidth="1"/>
    <col min="31" max="31" width="15.6640625" style="3" customWidth="1"/>
    <col min="32" max="32" width="18" style="3" customWidth="1"/>
    <col min="33" max="33" width="17.33203125" style="3" customWidth="1"/>
    <col min="34" max="34" width="18.33203125" style="3" customWidth="1"/>
    <col min="35" max="35" width="14.5546875" style="3" customWidth="1"/>
    <col min="36" max="36" width="15.6640625" style="3" customWidth="1"/>
    <col min="37" max="37" width="18" style="3" customWidth="1"/>
    <col min="38" max="38" width="17.33203125" style="3" customWidth="1"/>
    <col min="39" max="39" width="18.33203125" style="3" customWidth="1"/>
    <col min="40" max="40" width="14.5546875" style="3" customWidth="1"/>
    <col min="41" max="41" width="15.6640625" style="3" customWidth="1"/>
    <col min="42" max="42" width="18" style="3" customWidth="1"/>
    <col min="43" max="43" width="17.33203125" style="3" customWidth="1"/>
    <col min="44" max="44" width="18.33203125" style="3" customWidth="1"/>
    <col min="45" max="45" width="14.5546875" style="3" customWidth="1"/>
    <col min="46" max="46" width="15.6640625" style="3" customWidth="1"/>
    <col min="47" max="47" width="18" style="3" customWidth="1"/>
    <col min="48" max="48" width="17.33203125" style="3" customWidth="1"/>
    <col min="49" max="49" width="18.33203125" style="3" customWidth="1"/>
    <col min="50" max="50" width="14.5546875" style="3" customWidth="1"/>
    <col min="51" max="51" width="15.6640625" style="3" customWidth="1"/>
    <col min="52" max="52" width="18" style="3" customWidth="1"/>
    <col min="53" max="53" width="17.33203125" style="3" customWidth="1"/>
    <col min="54" max="54" width="18.33203125" style="3" customWidth="1"/>
    <col min="55" max="55" width="14.5546875" style="3" customWidth="1"/>
    <col min="56" max="56" width="15.6640625" style="3" customWidth="1"/>
    <col min="57" max="57" width="18" style="3" customWidth="1"/>
    <col min="58" max="58" width="17.33203125" style="3" customWidth="1"/>
    <col min="59" max="59" width="18.33203125" style="3" customWidth="1"/>
    <col min="60" max="60" width="14.5546875" style="3" customWidth="1"/>
    <col min="61" max="61" width="15.6640625" style="3" customWidth="1"/>
    <col min="62" max="16384" width="9.109375" style="3"/>
  </cols>
  <sheetData>
    <row r="1" spans="1:8" x14ac:dyDescent="0.3">
      <c r="A1" s="5" t="s">
        <v>383</v>
      </c>
    </row>
    <row r="3" spans="1:8" x14ac:dyDescent="0.3">
      <c r="A3" s="454" t="str">
        <f>Inputs!A3</f>
        <v xml:space="preserve">Discount Rate </v>
      </c>
      <c r="B3" s="191">
        <f>Inputs!B3</f>
        <v>7.0000000000000007E-2</v>
      </c>
    </row>
    <row r="4" spans="1:8" x14ac:dyDescent="0.3">
      <c r="A4" s="454" t="str">
        <f>Inputs!A10</f>
        <v>Discount year</v>
      </c>
      <c r="B4" s="3">
        <f>Inputs!B10</f>
        <v>2021</v>
      </c>
    </row>
    <row r="5" spans="1:8" x14ac:dyDescent="0.3">
      <c r="A5" s="454" t="str">
        <f>Inputs!A6</f>
        <v xml:space="preserve">Begin Construction year </v>
      </c>
      <c r="B5" s="3">
        <f>Inputs!B6</f>
        <v>2023</v>
      </c>
    </row>
    <row r="6" spans="1:8" x14ac:dyDescent="0.3">
      <c r="A6" s="454" t="str">
        <f>Inputs!A7</f>
        <v xml:space="preserve">Complete Construction year </v>
      </c>
      <c r="B6" s="3">
        <f>Inputs!B7</f>
        <v>2028</v>
      </c>
    </row>
    <row r="7" spans="1:8" x14ac:dyDescent="0.3">
      <c r="A7" s="454" t="str">
        <f>Inputs!A11</f>
        <v>Benefit Year</v>
      </c>
      <c r="B7" s="3">
        <f>Inputs!B11</f>
        <v>2028</v>
      </c>
    </row>
    <row r="8" spans="1:8" x14ac:dyDescent="0.3">
      <c r="A8" s="454" t="str">
        <f>Inputs!A17</f>
        <v>Annual Growth Rate (CAGR)</v>
      </c>
      <c r="B8" s="301">
        <f>Inputs!B17</f>
        <v>3.1744892994098661E-2</v>
      </c>
    </row>
    <row r="9" spans="1:8" x14ac:dyDescent="0.3">
      <c r="A9" s="454" t="s">
        <v>384</v>
      </c>
      <c r="B9" s="462">
        <v>0.86</v>
      </c>
      <c r="C9" s="463">
        <v>2</v>
      </c>
    </row>
    <row r="10" spans="1:8" ht="28.8" x14ac:dyDescent="0.3">
      <c r="A10" s="454" t="s">
        <v>385</v>
      </c>
      <c r="B10" s="455">
        <f>Inputs!B51*5</f>
        <v>0.55000000000000004</v>
      </c>
      <c r="C10" s="3" t="s">
        <v>877</v>
      </c>
    </row>
    <row r="11" spans="1:8" x14ac:dyDescent="0.3">
      <c r="A11" s="454" t="s">
        <v>386</v>
      </c>
      <c r="B11" s="455">
        <f>Inputs!B52</f>
        <v>7.2</v>
      </c>
    </row>
    <row r="12" spans="1:8" x14ac:dyDescent="0.3">
      <c r="A12" s="454" t="s">
        <v>387</v>
      </c>
      <c r="B12" s="223">
        <f>Inputs!B53</f>
        <v>6.42</v>
      </c>
    </row>
    <row r="13" spans="1:8" x14ac:dyDescent="0.3">
      <c r="A13" s="454" t="s">
        <v>388</v>
      </c>
      <c r="B13" s="229">
        <f>'AT User Data'!AB8</f>
        <v>8081.6666666666661</v>
      </c>
      <c r="H13" s="54"/>
    </row>
    <row r="14" spans="1:8" x14ac:dyDescent="0.3">
      <c r="A14" s="454" t="s">
        <v>389</v>
      </c>
      <c r="B14" s="228">
        <v>0.89</v>
      </c>
      <c r="C14" s="3" t="s">
        <v>390</v>
      </c>
      <c r="H14" s="54"/>
    </row>
    <row r="15" spans="1:8" x14ac:dyDescent="0.3">
      <c r="A15" s="454" t="s">
        <v>391</v>
      </c>
      <c r="B15" s="216">
        <f>Inputs!B54</f>
        <v>6</v>
      </c>
    </row>
    <row r="16" spans="1:8" x14ac:dyDescent="0.3">
      <c r="A16" s="454" t="s">
        <v>392</v>
      </c>
      <c r="B16" s="216">
        <f>Inputs!B55</f>
        <v>2</v>
      </c>
    </row>
    <row r="17" spans="1:41" ht="12.75" customHeight="1" x14ac:dyDescent="0.3">
      <c r="A17" s="454" t="s">
        <v>393</v>
      </c>
      <c r="B17" s="228">
        <f>SUM(B16/B15)</f>
        <v>0.33333333333333331</v>
      </c>
    </row>
    <row r="18" spans="1:41" x14ac:dyDescent="0.3">
      <c r="A18" s="454" t="str">
        <f>Inputs!$A$15</f>
        <v>Annualization Factor</v>
      </c>
      <c r="B18" s="3">
        <f>Inputs!$B$15</f>
        <v>320</v>
      </c>
    </row>
    <row r="19" spans="1:41" x14ac:dyDescent="0.3">
      <c r="A19" s="3"/>
    </row>
    <row r="20" spans="1:41" x14ac:dyDescent="0.3">
      <c r="AN20" s="168"/>
      <c r="AO20" s="168"/>
    </row>
    <row r="21" spans="1:41" x14ac:dyDescent="0.3">
      <c r="A21" s="456" t="s">
        <v>394</v>
      </c>
      <c r="F21" s="168"/>
      <c r="G21" s="168"/>
    </row>
    <row r="22" spans="1:41" ht="72" x14ac:dyDescent="0.3">
      <c r="A22" s="18" t="s">
        <v>132</v>
      </c>
      <c r="B22" s="18" t="s">
        <v>133</v>
      </c>
      <c r="C22" s="18" t="s">
        <v>395</v>
      </c>
      <c r="D22" s="18" t="s">
        <v>396</v>
      </c>
      <c r="E22" s="18" t="s">
        <v>397</v>
      </c>
    </row>
    <row r="23" spans="1:41" ht="14.7" customHeight="1" x14ac:dyDescent="0.3">
      <c r="A23" s="194">
        <f>IF((B23&gt;(Inputs!$B$7+Inputs!$B$8)),0,IF((B23&lt;Inputs!$B$7),0,((B23-Inputs!$B$7))))</f>
        <v>0</v>
      </c>
      <c r="B23" s="171">
        <f>B7</f>
        <v>2028</v>
      </c>
      <c r="C23" s="210">
        <f>B13</f>
        <v>8081.6666666666661</v>
      </c>
      <c r="D23" s="457">
        <f>SUM(C23*$B$10*$B$9)*Inputs!$B$12</f>
        <v>1911.3141666666668</v>
      </c>
      <c r="E23" s="172">
        <f t="shared" ref="E23:E42" si="0">ROUND(D23/((1+B$3)^($B23-$B$4)),0)</f>
        <v>1190</v>
      </c>
    </row>
    <row r="24" spans="1:41" ht="14.7" customHeight="1" x14ac:dyDescent="0.3">
      <c r="A24" s="194">
        <f>IF((B24&gt;(Inputs!$B$7+Inputs!$B$8)),0,IF((B24&lt;Inputs!$B$7),0,((B24-Inputs!$B$7))))</f>
        <v>1</v>
      </c>
      <c r="B24" s="171">
        <f t="shared" ref="B24:B43" si="1">B23+1</f>
        <v>2029</v>
      </c>
      <c r="C24" s="210">
        <f>C23*(1+$B$8)</f>
        <v>8338.2183102139734</v>
      </c>
      <c r="D24" s="458">
        <f t="shared" ref="D24:D42" si="2">SUM(C24*$B$10*$B$9)</f>
        <v>3943.9772607312098</v>
      </c>
      <c r="E24" s="172">
        <f t="shared" si="0"/>
        <v>2295</v>
      </c>
    </row>
    <row r="25" spans="1:41" x14ac:dyDescent="0.3">
      <c r="A25" s="194">
        <f>IF((B25&gt;(Inputs!$B$7+Inputs!$B$8)),0,IF((B25&lt;Inputs!$B$7),0,((B25-Inputs!$B$7))))</f>
        <v>2</v>
      </c>
      <c r="B25" s="171">
        <f t="shared" si="1"/>
        <v>2030</v>
      </c>
      <c r="C25" s="210">
        <f t="shared" ref="C25:C41" si="3">C24*(1+$B$8)</f>
        <v>8602.9141582331504</v>
      </c>
      <c r="D25" s="458">
        <f t="shared" si="2"/>
        <v>4069.1783968442805</v>
      </c>
      <c r="E25" s="172">
        <f t="shared" si="0"/>
        <v>2213</v>
      </c>
    </row>
    <row r="26" spans="1:41" x14ac:dyDescent="0.3">
      <c r="A26" s="194">
        <f>IF((B26&gt;(Inputs!$B$7+Inputs!$B$8)),0,IF((B26&lt;Inputs!$B$7),0,((B26-Inputs!$B$7))))</f>
        <v>3</v>
      </c>
      <c r="B26" s="171">
        <f t="shared" si="1"/>
        <v>2031</v>
      </c>
      <c r="C26" s="210">
        <f t="shared" si="3"/>
        <v>8876.0127476236776</v>
      </c>
      <c r="D26" s="458">
        <f t="shared" si="2"/>
        <v>4198.3540296259998</v>
      </c>
      <c r="E26" s="172">
        <f t="shared" si="0"/>
        <v>2134</v>
      </c>
    </row>
    <row r="27" spans="1:41" x14ac:dyDescent="0.3">
      <c r="A27" s="194">
        <f>IF((B27&gt;(Inputs!$B$7+Inputs!$B$8)),0,IF((B27&lt;Inputs!$B$7),0,((B27-Inputs!$B$7))))</f>
        <v>4</v>
      </c>
      <c r="B27" s="171">
        <f t="shared" si="1"/>
        <v>2032</v>
      </c>
      <c r="C27" s="210">
        <f t="shared" si="3"/>
        <v>9157.7808225112476</v>
      </c>
      <c r="D27" s="458">
        <f t="shared" si="2"/>
        <v>4331.6303290478199</v>
      </c>
      <c r="E27" s="172">
        <f t="shared" si="0"/>
        <v>2058</v>
      </c>
    </row>
    <row r="28" spans="1:41" x14ac:dyDescent="0.3">
      <c r="A28" s="194">
        <f>IF((B28&gt;(Inputs!$B$7+Inputs!$B$8)),0,IF((B28&lt;Inputs!$B$7),0,((B28-Inputs!$B$7))))</f>
        <v>5</v>
      </c>
      <c r="B28" s="171">
        <f t="shared" si="1"/>
        <v>2033</v>
      </c>
      <c r="C28" s="210">
        <f t="shared" si="3"/>
        <v>9448.4935947852755</v>
      </c>
      <c r="D28" s="458">
        <f t="shared" si="2"/>
        <v>4469.1374703334359</v>
      </c>
      <c r="E28" s="172">
        <f t="shared" si="0"/>
        <v>1984</v>
      </c>
    </row>
    <row r="29" spans="1:41" x14ac:dyDescent="0.3">
      <c r="A29" s="194">
        <f>IF((B29&gt;(Inputs!$B$7+Inputs!$B$8)),0,IF((B29&lt;Inputs!$B$7),0,((B29-Inputs!$B$7))))</f>
        <v>6</v>
      </c>
      <c r="B29" s="171">
        <f t="shared" si="1"/>
        <v>2034</v>
      </c>
      <c r="C29" s="210">
        <f t="shared" si="3"/>
        <v>9748.4350129071609</v>
      </c>
      <c r="D29" s="458">
        <f t="shared" si="2"/>
        <v>4611.0097611050878</v>
      </c>
      <c r="E29" s="172">
        <f t="shared" si="0"/>
        <v>1913</v>
      </c>
    </row>
    <row r="30" spans="1:41" x14ac:dyDescent="0.3">
      <c r="A30" s="194">
        <f>IF((B30&gt;(Inputs!$B$7+Inputs!$B$8)),0,IF((B30&lt;Inputs!$B$7),0,((B30-Inputs!$B$7))))</f>
        <v>7</v>
      </c>
      <c r="B30" s="171">
        <f t="shared" si="1"/>
        <v>2035</v>
      </c>
      <c r="C30" s="210">
        <f t="shared" si="3"/>
        <v>10057.898039251824</v>
      </c>
      <c r="D30" s="458">
        <f t="shared" si="2"/>
        <v>4757.3857725661128</v>
      </c>
      <c r="E30" s="172">
        <f t="shared" si="0"/>
        <v>1845</v>
      </c>
    </row>
    <row r="31" spans="1:41" x14ac:dyDescent="0.3">
      <c r="A31" s="194">
        <f>IF((B31&gt;(Inputs!$B$7+Inputs!$B$8)),0,IF((B31&lt;Inputs!$B$7),0,((B31-Inputs!$B$7))))</f>
        <v>8</v>
      </c>
      <c r="B31" s="171">
        <f t="shared" si="1"/>
        <v>2036</v>
      </c>
      <c r="C31" s="210">
        <f t="shared" si="3"/>
        <v>10377.184936253429</v>
      </c>
      <c r="D31" s="458">
        <f t="shared" si="2"/>
        <v>4908.4084748478717</v>
      </c>
      <c r="E31" s="172">
        <f t="shared" si="0"/>
        <v>1779</v>
      </c>
    </row>
    <row r="32" spans="1:41" x14ac:dyDescent="0.3">
      <c r="A32" s="194">
        <f>IF((B32&gt;(Inputs!$B$7+Inputs!$B$8)),0,IF((B32&lt;Inputs!$B$7),0,((B32-Inputs!$B$7))))</f>
        <v>9</v>
      </c>
      <c r="B32" s="171">
        <f t="shared" si="1"/>
        <v>2037</v>
      </c>
      <c r="C32" s="210">
        <f t="shared" si="3"/>
        <v>10706.607561634766</v>
      </c>
      <c r="D32" s="458">
        <f t="shared" si="2"/>
        <v>5064.2253766532449</v>
      </c>
      <c r="E32" s="172">
        <f t="shared" si="0"/>
        <v>1715</v>
      </c>
    </row>
    <row r="33" spans="1:7" x14ac:dyDescent="0.3">
      <c r="A33" s="194">
        <f>IF((B33&gt;(Inputs!$B$7+Inputs!$B$8)),0,IF((B33&lt;Inputs!$B$7),0,((B33-Inputs!$B$7))))</f>
        <v>10</v>
      </c>
      <c r="B33" s="171">
        <f t="shared" si="1"/>
        <v>2038</v>
      </c>
      <c r="C33" s="210">
        <f t="shared" si="3"/>
        <v>11046.487673008669</v>
      </c>
      <c r="D33" s="458">
        <f t="shared" si="2"/>
        <v>5224.9886693331009</v>
      </c>
      <c r="E33" s="172">
        <f t="shared" si="0"/>
        <v>1654</v>
      </c>
    </row>
    <row r="34" spans="1:7" x14ac:dyDescent="0.3">
      <c r="A34" s="194">
        <f>IF((B34&gt;(Inputs!$B$7+Inputs!$B$8)),0,IF((B34&lt;Inputs!$B$7),0,((B34-Inputs!$B$7))))</f>
        <v>11</v>
      </c>
      <c r="B34" s="171">
        <f t="shared" si="1"/>
        <v>2039</v>
      </c>
      <c r="C34" s="210">
        <f t="shared" si="3"/>
        <v>11397.157242148958</v>
      </c>
      <c r="D34" s="458">
        <f t="shared" si="2"/>
        <v>5390.8553755364574</v>
      </c>
      <c r="E34" s="172">
        <f t="shared" si="0"/>
        <v>1595</v>
      </c>
    </row>
    <row r="35" spans="1:7" x14ac:dyDescent="0.3">
      <c r="A35" s="194">
        <f>IF((B35&gt;(Inputs!$B$7+Inputs!$B$8)),0,IF((B35&lt;Inputs!$B$7),0,((B35-Inputs!$B$7))))</f>
        <v>12</v>
      </c>
      <c r="B35" s="171">
        <f t="shared" si="1"/>
        <v>2040</v>
      </c>
      <c r="C35" s="210">
        <f t="shared" si="3"/>
        <v>11758.958779237893</v>
      </c>
      <c r="D35" s="458">
        <f t="shared" si="2"/>
        <v>5561.9875025795245</v>
      </c>
      <c r="E35" s="172">
        <f t="shared" si="0"/>
        <v>1538</v>
      </c>
    </row>
    <row r="36" spans="1:7" x14ac:dyDescent="0.3">
      <c r="A36" s="194">
        <f>IF((B36&gt;(Inputs!$B$7+Inputs!$B$8)),0,IF((B36&lt;Inputs!$B$7),0,((B36-Inputs!$B$7))))</f>
        <v>13</v>
      </c>
      <c r="B36" s="171">
        <f t="shared" si="1"/>
        <v>2041</v>
      </c>
      <c r="C36" s="210">
        <f t="shared" si="3"/>
        <v>12132.245667406818</v>
      </c>
      <c r="D36" s="458">
        <f t="shared" si="2"/>
        <v>5738.5522006834253</v>
      </c>
      <c r="E36" s="172">
        <f t="shared" si="0"/>
        <v>1483</v>
      </c>
    </row>
    <row r="37" spans="1:7" x14ac:dyDescent="0.3">
      <c r="A37" s="194">
        <f>IF((B37&gt;(Inputs!$B$7+Inputs!$B$8)),0,IF((B37&lt;Inputs!$B$7),0,((B37-Inputs!$B$7))))</f>
        <v>14</v>
      </c>
      <c r="B37" s="171">
        <f t="shared" si="1"/>
        <v>2042</v>
      </c>
      <c r="C37" s="210">
        <f t="shared" si="3"/>
        <v>12517.382507896764</v>
      </c>
      <c r="D37" s="458">
        <f t="shared" si="2"/>
        <v>5920.72192623517</v>
      </c>
      <c r="E37" s="172">
        <f t="shared" si="0"/>
        <v>1430</v>
      </c>
    </row>
    <row r="38" spans="1:7" x14ac:dyDescent="0.3">
      <c r="A38" s="194">
        <f>IF((B38&gt;(Inputs!$B$7+Inputs!$B$8)),0,IF((B38&lt;Inputs!$B$7),0,((B38-Inputs!$B$7))))</f>
        <v>15</v>
      </c>
      <c r="B38" s="171">
        <f t="shared" si="1"/>
        <v>2043</v>
      </c>
      <c r="C38" s="210">
        <f t="shared" si="3"/>
        <v>12914.745476176149</v>
      </c>
      <c r="D38" s="458">
        <f t="shared" si="2"/>
        <v>6108.6746102313191</v>
      </c>
      <c r="E38" s="172">
        <f t="shared" si="0"/>
        <v>1379</v>
      </c>
    </row>
    <row r="39" spans="1:7" x14ac:dyDescent="0.3">
      <c r="A39" s="194">
        <f>IF((B39&gt;(Inputs!$B$7+Inputs!$B$8)),0,IF((B39&lt;Inputs!$B$7),0,((B39-Inputs!$B$7))))</f>
        <v>16</v>
      </c>
      <c r="B39" s="171">
        <f t="shared" si="1"/>
        <v>2044</v>
      </c>
      <c r="C39" s="210">
        <f t="shared" si="3"/>
        <v>13324.722689363382</v>
      </c>
      <c r="D39" s="458">
        <f t="shared" si="2"/>
        <v>6302.5938320688792</v>
      </c>
      <c r="E39" s="172">
        <f t="shared" si="0"/>
        <v>1330</v>
      </c>
    </row>
    <row r="40" spans="1:7" x14ac:dyDescent="0.3">
      <c r="A40" s="194">
        <f>IF((B40&gt;(Inputs!$B$7+Inputs!$B$8)),0,IF((B40&lt;Inputs!$B$7),0,((B40-Inputs!$B$7))))</f>
        <v>17</v>
      </c>
      <c r="B40" s="171">
        <f t="shared" si="1"/>
        <v>2045</v>
      </c>
      <c r="C40" s="210">
        <f t="shared" si="3"/>
        <v>13747.714585313261</v>
      </c>
      <c r="D40" s="458">
        <f t="shared" si="2"/>
        <v>6502.6689988531725</v>
      </c>
      <c r="E40" s="172">
        <f t="shared" si="0"/>
        <v>1282</v>
      </c>
    </row>
    <row r="41" spans="1:7" x14ac:dyDescent="0.3">
      <c r="A41" s="194">
        <f>IF((B41&gt;(Inputs!$B$7+Inputs!$B$8)),0,IF((B41&lt;Inputs!$B$7),0,((B41-Inputs!$B$7))))</f>
        <v>18</v>
      </c>
      <c r="B41" s="171">
        <f t="shared" si="1"/>
        <v>2046</v>
      </c>
      <c r="C41" s="210">
        <f t="shared" si="3"/>
        <v>14184.134313737439</v>
      </c>
      <c r="D41" s="458">
        <f t="shared" si="2"/>
        <v>6709.0955303978089</v>
      </c>
      <c r="E41" s="172">
        <f t="shared" si="0"/>
        <v>1236</v>
      </c>
    </row>
    <row r="42" spans="1:7" x14ac:dyDescent="0.3">
      <c r="A42" s="194">
        <f>IF((B42&gt;(Inputs!$B$7+Inputs!$B$8)),0,IF((B42&lt;Inputs!$B$7),0,((B42-Inputs!$B$7))))</f>
        <v>19</v>
      </c>
      <c r="B42" s="171">
        <f t="shared" si="1"/>
        <v>2047</v>
      </c>
      <c r="C42" s="210">
        <f>C41*(1+$B$8)</f>
        <v>14634.408139740957</v>
      </c>
      <c r="D42" s="458">
        <f t="shared" si="2"/>
        <v>6922.0750500974736</v>
      </c>
      <c r="E42" s="172">
        <f t="shared" si="0"/>
        <v>1192</v>
      </c>
    </row>
    <row r="43" spans="1:7" x14ac:dyDescent="0.3">
      <c r="A43" s="194">
        <f>IF((B43&gt;(Inputs!$B$7+Inputs!$B$8)),0,IF((B43&lt;Inputs!$B$7),0,((B43-Inputs!$B$7))))</f>
        <v>20</v>
      </c>
      <c r="B43" s="171">
        <f t="shared" si="1"/>
        <v>2048</v>
      </c>
      <c r="C43" s="210">
        <f>C42*(1+$B$8)</f>
        <v>15098.975860169001</v>
      </c>
      <c r="D43" s="457">
        <f>SUM(C43*$B$10*$B$9)*Inputs!$B$12</f>
        <v>3570.907790929969</v>
      </c>
      <c r="E43" s="172">
        <f>ROUND(D43/((1+B$3)^($B43-$B$4)),0)</f>
        <v>575</v>
      </c>
    </row>
    <row r="44" spans="1:7" x14ac:dyDescent="0.3">
      <c r="A44" s="194"/>
      <c r="B44" s="171"/>
      <c r="C44" s="227">
        <f>SUM(C23:C43)</f>
        <v>236152.14478428045</v>
      </c>
      <c r="D44" s="221" t="s">
        <v>228</v>
      </c>
      <c r="E44" s="198">
        <f>SUM(E23:E43)</f>
        <v>33820</v>
      </c>
    </row>
    <row r="45" spans="1:7" x14ac:dyDescent="0.3">
      <c r="E45" s="5"/>
    </row>
    <row r="47" spans="1:7" x14ac:dyDescent="0.3">
      <c r="A47" s="456" t="s">
        <v>398</v>
      </c>
      <c r="F47" s="168"/>
      <c r="G47" s="168"/>
    </row>
    <row r="48" spans="1:7" ht="72" x14ac:dyDescent="0.3">
      <c r="A48" s="18" t="s">
        <v>132</v>
      </c>
      <c r="B48" s="18" t="s">
        <v>133</v>
      </c>
      <c r="C48" s="18" t="s">
        <v>399</v>
      </c>
      <c r="D48" s="18" t="s">
        <v>400</v>
      </c>
      <c r="E48" s="18" t="s">
        <v>401</v>
      </c>
    </row>
    <row r="49" spans="1:5" x14ac:dyDescent="0.3">
      <c r="A49" s="194">
        <f>IF((B49&gt;(Inputs!$B$7+Inputs!$B$8)),0,IF((B49&lt;Inputs!$B$7),0,((B49-Inputs!$B$7))))</f>
        <v>0</v>
      </c>
      <c r="B49" s="171">
        <v>2028</v>
      </c>
      <c r="C49" s="210">
        <f>SUM(B13*B17)</f>
        <v>2693.8888888888887</v>
      </c>
      <c r="D49" s="457">
        <f>SUM(C49*$B$11)*$B$14*Inputs!$B$12</f>
        <v>8631.2199999999993</v>
      </c>
      <c r="E49" s="172">
        <f>ROUND(D49/((1+B$3)^($B49-$B$4)),0)</f>
        <v>5375</v>
      </c>
    </row>
    <row r="50" spans="1:5" x14ac:dyDescent="0.3">
      <c r="A50" s="194">
        <f>IF((B50&gt;(Inputs!$B$7+Inputs!$B$8)),0,IF((B50&lt;Inputs!$B$7),0,((B50-Inputs!$B$7))))</f>
        <v>1</v>
      </c>
      <c r="B50" s="171">
        <f t="shared" ref="B50:B69" si="4">B49+1</f>
        <v>2029</v>
      </c>
      <c r="C50" s="210">
        <f t="shared" ref="C50:C69" si="5">C49*(1+$B$8)</f>
        <v>2779.4061034046576</v>
      </c>
      <c r="D50" s="459">
        <f t="shared" ref="D50:D68" si="6">SUM(C50*$B$11)*$B$14</f>
        <v>17810.434310617045</v>
      </c>
      <c r="E50" s="172">
        <f t="shared" ref="E50:E68" si="7">ROUND(D50/((1+B$3)^($B50-$B$4)),0)</f>
        <v>10366</v>
      </c>
    </row>
    <row r="51" spans="1:5" x14ac:dyDescent="0.3">
      <c r="A51" s="194">
        <f>IF((B51&gt;(Inputs!$B$7+Inputs!$B$8)),0,IF((B51&lt;Inputs!$B$7),0,((B51-Inputs!$B$7))))</f>
        <v>2</v>
      </c>
      <c r="B51" s="171">
        <f t="shared" si="4"/>
        <v>2030</v>
      </c>
      <c r="C51" s="210">
        <f t="shared" si="5"/>
        <v>2867.638052744383</v>
      </c>
      <c r="D51" s="459">
        <f t="shared" si="6"/>
        <v>18375.824641986008</v>
      </c>
      <c r="E51" s="172">
        <f t="shared" si="7"/>
        <v>9995</v>
      </c>
    </row>
    <row r="52" spans="1:5" x14ac:dyDescent="0.3">
      <c r="A52" s="194">
        <f>IF((B52&gt;(Inputs!$B$7+Inputs!$B$8)),0,IF((B52&lt;Inputs!$B$7),0,((B52-Inputs!$B$7))))</f>
        <v>3</v>
      </c>
      <c r="B52" s="171">
        <f t="shared" si="4"/>
        <v>2031</v>
      </c>
      <c r="C52" s="210">
        <f t="shared" si="5"/>
        <v>2958.6709158745589</v>
      </c>
      <c r="D52" s="459">
        <f t="shared" si="6"/>
        <v>18959.163228924175</v>
      </c>
      <c r="E52" s="172">
        <f t="shared" si="7"/>
        <v>9638</v>
      </c>
    </row>
    <row r="53" spans="1:5" x14ac:dyDescent="0.3">
      <c r="A53" s="194">
        <f>IF((B53&gt;(Inputs!$B$7+Inputs!$B$8)),0,IF((B53&lt;Inputs!$B$7),0,((B53-Inputs!$B$7))))</f>
        <v>4</v>
      </c>
      <c r="B53" s="171">
        <f t="shared" si="4"/>
        <v>2032</v>
      </c>
      <c r="C53" s="210">
        <f t="shared" si="5"/>
        <v>3052.5936075037484</v>
      </c>
      <c r="D53" s="459">
        <f t="shared" si="6"/>
        <v>19561.019836884021</v>
      </c>
      <c r="E53" s="172">
        <f t="shared" si="7"/>
        <v>9293</v>
      </c>
    </row>
    <row r="54" spans="1:5" x14ac:dyDescent="0.3">
      <c r="A54" s="194">
        <f>IF((B54&gt;(Inputs!$B$7+Inputs!$B$8)),0,IF((B54&lt;Inputs!$B$7),0,((B54-Inputs!$B$7))))</f>
        <v>5</v>
      </c>
      <c r="B54" s="171">
        <f t="shared" si="4"/>
        <v>2033</v>
      </c>
      <c r="C54" s="210">
        <f t="shared" si="5"/>
        <v>3149.4978649284244</v>
      </c>
      <c r="D54" s="459">
        <f t="shared" si="6"/>
        <v>20181.982318461341</v>
      </c>
      <c r="E54" s="172">
        <f t="shared" si="7"/>
        <v>8961</v>
      </c>
    </row>
    <row r="55" spans="1:5" x14ac:dyDescent="0.3">
      <c r="A55" s="194">
        <f>IF((B55&gt;(Inputs!$B$7+Inputs!$B$8)),0,IF((B55&lt;Inputs!$B$7),0,((B55-Inputs!$B$7))))</f>
        <v>6</v>
      </c>
      <c r="B55" s="171">
        <f t="shared" si="4"/>
        <v>2034</v>
      </c>
      <c r="C55" s="210">
        <f t="shared" si="5"/>
        <v>3249.4783376357195</v>
      </c>
      <c r="D55" s="459">
        <f t="shared" si="6"/>
        <v>20822.65718756969</v>
      </c>
      <c r="E55" s="172">
        <f t="shared" si="7"/>
        <v>8641</v>
      </c>
    </row>
    <row r="56" spans="1:5" x14ac:dyDescent="0.3">
      <c r="A56" s="194">
        <f>IF((B56&gt;(Inputs!$B$7+Inputs!$B$8)),0,IF((B56&lt;Inputs!$B$7),0,((B56-Inputs!$B$7))))</f>
        <v>7</v>
      </c>
      <c r="B56" s="171">
        <f t="shared" si="4"/>
        <v>2035</v>
      </c>
      <c r="C56" s="210">
        <f t="shared" si="5"/>
        <v>3352.6326797506072</v>
      </c>
      <c r="D56" s="459">
        <f t="shared" si="6"/>
        <v>21483.670211841894</v>
      </c>
      <c r="E56" s="172">
        <f t="shared" si="7"/>
        <v>8332</v>
      </c>
    </row>
    <row r="57" spans="1:5" x14ac:dyDescent="0.3">
      <c r="A57" s="194">
        <f>IF((B57&gt;(Inputs!$B$7+Inputs!$B$8)),0,IF((B57&lt;Inputs!$B$7),0,((B57-Inputs!$B$7))))</f>
        <v>8</v>
      </c>
      <c r="B57" s="171">
        <f t="shared" si="4"/>
        <v>2036</v>
      </c>
      <c r="C57" s="210">
        <f t="shared" si="5"/>
        <v>3459.0616454178084</v>
      </c>
      <c r="D57" s="459">
        <f t="shared" si="6"/>
        <v>22165.667023837315</v>
      </c>
      <c r="E57" s="172">
        <f t="shared" si="7"/>
        <v>8034</v>
      </c>
    </row>
    <row r="58" spans="1:5" x14ac:dyDescent="0.3">
      <c r="A58" s="194">
        <f>IF((B58&gt;(Inputs!$B$7+Inputs!$B$8)),0,IF((B58&lt;Inputs!$B$7),0,((B58-Inputs!$B$7))))</f>
        <v>9</v>
      </c>
      <c r="B58" s="171">
        <f t="shared" si="4"/>
        <v>2037</v>
      </c>
      <c r="C58" s="210">
        <f t="shared" si="5"/>
        <v>3568.8691872115878</v>
      </c>
      <c r="D58" s="459">
        <f t="shared" si="6"/>
        <v>22869.313751651858</v>
      </c>
      <c r="E58" s="172">
        <f t="shared" si="7"/>
        <v>7747</v>
      </c>
    </row>
    <row r="59" spans="1:5" x14ac:dyDescent="0.3">
      <c r="A59" s="194">
        <f>IF((B59&gt;(Inputs!$B$7+Inputs!$B$8)),0,IF((B59&lt;Inputs!$B$7),0,((B59-Inputs!$B$7))))</f>
        <v>10</v>
      </c>
      <c r="B59" s="171">
        <f t="shared" si="4"/>
        <v>2038</v>
      </c>
      <c r="C59" s="210">
        <f t="shared" si="5"/>
        <v>3682.1625576695556</v>
      </c>
      <c r="D59" s="459">
        <f t="shared" si="6"/>
        <v>23595.297669546515</v>
      </c>
      <c r="E59" s="172">
        <f t="shared" si="7"/>
        <v>7470</v>
      </c>
    </row>
    <row r="60" spans="1:5" x14ac:dyDescent="0.3">
      <c r="A60" s="194">
        <f>IF((B60&gt;(Inputs!$B$7+Inputs!$B$8)),0,IF((B60&lt;Inputs!$B$7),0,((B60-Inputs!$B$7))))</f>
        <v>11</v>
      </c>
      <c r="B60" s="171">
        <f t="shared" si="4"/>
        <v>2039</v>
      </c>
      <c r="C60" s="210">
        <f t="shared" si="5"/>
        <v>3799.0524140496523</v>
      </c>
      <c r="D60" s="459">
        <f t="shared" si="6"/>
        <v>24344.327869230172</v>
      </c>
      <c r="E60" s="172">
        <f t="shared" si="7"/>
        <v>7203</v>
      </c>
    </row>
    <row r="61" spans="1:5" x14ac:dyDescent="0.3">
      <c r="A61" s="194">
        <f>IF((B61&gt;(Inputs!$B$7+Inputs!$B$8)),0,IF((B61&lt;Inputs!$B$7),0,((B61-Inputs!$B$7))))</f>
        <v>12</v>
      </c>
      <c r="B61" s="171">
        <f t="shared" si="4"/>
        <v>2040</v>
      </c>
      <c r="C61" s="210">
        <f t="shared" si="5"/>
        <v>3919.6529264126307</v>
      </c>
      <c r="D61" s="459">
        <f t="shared" si="6"/>
        <v>25117.135952452136</v>
      </c>
      <c r="E61" s="172">
        <f t="shared" si="7"/>
        <v>6945</v>
      </c>
    </row>
    <row r="62" spans="1:5" x14ac:dyDescent="0.3">
      <c r="A62" s="194">
        <f>IF((B62&gt;(Inputs!$B$7+Inputs!$B$8)),0,IF((B62&lt;Inputs!$B$7),0,((B62-Inputs!$B$7))))</f>
        <v>13</v>
      </c>
      <c r="B62" s="171">
        <f t="shared" si="4"/>
        <v>2041</v>
      </c>
      <c r="C62" s="210">
        <f t="shared" si="5"/>
        <v>4044.0818891356053</v>
      </c>
      <c r="D62" s="459">
        <f t="shared" si="6"/>
        <v>25914.47674558096</v>
      </c>
      <c r="E62" s="172">
        <f t="shared" si="7"/>
        <v>6697</v>
      </c>
    </row>
    <row r="63" spans="1:5" x14ac:dyDescent="0.3">
      <c r="A63" s="194">
        <f>IF((B63&gt;(Inputs!$B$7+Inputs!$B$8)),0,IF((B63&lt;Inputs!$B$7),0,((B63-Inputs!$B$7))))</f>
        <v>14</v>
      </c>
      <c r="B63" s="171">
        <f t="shared" si="4"/>
        <v>2042</v>
      </c>
      <c r="C63" s="210">
        <f t="shared" si="5"/>
        <v>4172.4608359655876</v>
      </c>
      <c r="D63" s="459">
        <f t="shared" si="6"/>
        <v>26737.129036867489</v>
      </c>
      <c r="E63" s="172">
        <f t="shared" si="7"/>
        <v>6457</v>
      </c>
    </row>
    <row r="64" spans="1:5" x14ac:dyDescent="0.3">
      <c r="A64" s="194">
        <f>IF((B64&gt;(Inputs!$B$7+Inputs!$B$8)),0,IF((B64&lt;Inputs!$B$7),0,((B64-Inputs!$B$7))))</f>
        <v>15</v>
      </c>
      <c r="B64" s="171">
        <f t="shared" si="4"/>
        <v>2043</v>
      </c>
      <c r="C64" s="210">
        <f t="shared" si="5"/>
        <v>4304.9151587253828</v>
      </c>
      <c r="D64" s="459">
        <f t="shared" si="6"/>
        <v>27585.896337112255</v>
      </c>
      <c r="E64" s="172">
        <f t="shared" si="7"/>
        <v>6226</v>
      </c>
    </row>
    <row r="65" spans="1:5" x14ac:dyDescent="0.3">
      <c r="A65" s="194">
        <f>IF((B65&gt;(Inputs!$B$7+Inputs!$B$8)),0,IF((B65&lt;Inputs!$B$7),0,((B65-Inputs!$B$7))))</f>
        <v>16</v>
      </c>
      <c r="B65" s="171">
        <f t="shared" si="4"/>
        <v>2044</v>
      </c>
      <c r="C65" s="210">
        <f t="shared" si="5"/>
        <v>4441.5742297877932</v>
      </c>
      <c r="D65" s="459">
        <f t="shared" si="6"/>
        <v>28461.60766448018</v>
      </c>
      <c r="E65" s="172">
        <f t="shared" si="7"/>
        <v>6004</v>
      </c>
    </row>
    <row r="66" spans="1:5" x14ac:dyDescent="0.3">
      <c r="A66" s="194">
        <f>IF((B66&gt;(Inputs!$B$7+Inputs!$B$8)),0,IF((B66&lt;Inputs!$B$7),0,((B66-Inputs!$B$7))))</f>
        <v>17</v>
      </c>
      <c r="B66" s="171">
        <f t="shared" si="4"/>
        <v>2045</v>
      </c>
      <c r="C66" s="210">
        <f t="shared" si="5"/>
        <v>4582.5715284377529</v>
      </c>
      <c r="D66" s="459">
        <f t="shared" si="6"/>
        <v>29365.118354229126</v>
      </c>
      <c r="E66" s="172">
        <f t="shared" si="7"/>
        <v>5789</v>
      </c>
    </row>
    <row r="67" spans="1:5" x14ac:dyDescent="0.3">
      <c r="A67" s="194">
        <f>IF((B67&gt;(Inputs!$B$7+Inputs!$B$8)),0,IF((B67&lt;Inputs!$B$7),0,((B67-Inputs!$B$7))))</f>
        <v>18</v>
      </c>
      <c r="B67" s="171">
        <f t="shared" si="4"/>
        <v>2046</v>
      </c>
      <c r="C67" s="210">
        <f t="shared" si="5"/>
        <v>4728.0447712458126</v>
      </c>
      <c r="D67" s="459">
        <f t="shared" si="6"/>
        <v>30297.310894143167</v>
      </c>
      <c r="E67" s="172">
        <f t="shared" si="7"/>
        <v>5582</v>
      </c>
    </row>
    <row r="68" spans="1:5" x14ac:dyDescent="0.3">
      <c r="A68" s="194">
        <f>IF((B68&gt;(Inputs!$B$7+Inputs!$B$8)),0,IF((B68&lt;Inputs!$B$7),0,((B68-Inputs!$B$7))))</f>
        <v>19</v>
      </c>
      <c r="B68" s="171">
        <f t="shared" si="4"/>
        <v>2047</v>
      </c>
      <c r="C68" s="210">
        <f t="shared" si="5"/>
        <v>4878.1360465803182</v>
      </c>
      <c r="D68" s="459">
        <f t="shared" si="6"/>
        <v>31259.095786486676</v>
      </c>
      <c r="E68" s="172">
        <f t="shared" si="7"/>
        <v>5383</v>
      </c>
    </row>
    <row r="69" spans="1:5" x14ac:dyDescent="0.3">
      <c r="A69" s="194">
        <f>IF((B69&gt;(Inputs!$B$7+Inputs!$B$8)),0,IF((B69&lt;Inputs!$B$7),0,((B69-Inputs!$B$7))))</f>
        <v>20</v>
      </c>
      <c r="B69" s="171">
        <f t="shared" si="4"/>
        <v>2048</v>
      </c>
      <c r="C69" s="210">
        <f t="shared" si="5"/>
        <v>5032.9919533896655</v>
      </c>
      <c r="D69" s="457">
        <f>SUM(C69*$B$11)*$B$14*Inputs!$B$12</f>
        <v>16125.706218660489</v>
      </c>
      <c r="E69" s="172">
        <f t="shared" ref="E69" si="8">ROUND(D69/((1+B$3)^($B69-$B$4)),0)</f>
        <v>2595</v>
      </c>
    </row>
    <row r="70" spans="1:5" x14ac:dyDescent="0.3">
      <c r="A70" s="194"/>
      <c r="B70" s="171"/>
      <c r="C70" s="171"/>
      <c r="D70" s="221" t="s">
        <v>228</v>
      </c>
      <c r="E70" s="198">
        <f>SUM(E49:E69)</f>
        <v>152733</v>
      </c>
    </row>
  </sheetData>
  <pageMargins left="0.7" right="0.7" top="0.75" bottom="0.75" header="0.3" footer="0.3"/>
  <pageSetup orientation="portrait" horizontalDpi="1200" verticalDpi="120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K20"/>
  <sheetViews>
    <sheetView zoomScaleNormal="100" workbookViewId="0">
      <selection activeCell="C18" sqref="C18"/>
    </sheetView>
  </sheetViews>
  <sheetFormatPr defaultColWidth="9.33203125" defaultRowHeight="13.2" x14ac:dyDescent="0.25"/>
  <cols>
    <col min="1" max="1" width="9.33203125" style="325"/>
    <col min="2" max="2" width="40.6640625" style="325" customWidth="1"/>
    <col min="3" max="3" width="16.33203125" style="325" bestFit="1" customWidth="1"/>
    <col min="4" max="4" width="16" style="325" bestFit="1" customWidth="1"/>
    <col min="5" max="5" width="18.5546875" style="325" customWidth="1"/>
    <col min="6" max="6" width="17.6640625" style="325" customWidth="1"/>
    <col min="7" max="7" width="12.6640625" style="325" bestFit="1" customWidth="1"/>
    <col min="8" max="8" width="31.44140625" style="325" customWidth="1"/>
    <col min="9" max="9" width="15" style="325" customWidth="1"/>
    <col min="10" max="11" width="17.6640625" style="325" customWidth="1"/>
    <col min="12" max="16384" width="9.33203125" style="325"/>
  </cols>
  <sheetData>
    <row r="1" spans="2:8" x14ac:dyDescent="0.25">
      <c r="B1" s="326" t="s">
        <v>25</v>
      </c>
    </row>
    <row r="2" spans="2:8" x14ac:dyDescent="0.25">
      <c r="B2" s="325" t="s">
        <v>402</v>
      </c>
    </row>
    <row r="4" spans="2:8" ht="26.4" x14ac:dyDescent="0.25">
      <c r="B4" s="327" t="s">
        <v>403</v>
      </c>
      <c r="D4" s="327" t="s">
        <v>404</v>
      </c>
      <c r="F4" s="328"/>
    </row>
    <row r="6" spans="2:8" x14ac:dyDescent="0.25">
      <c r="B6" s="329" t="s">
        <v>405</v>
      </c>
      <c r="C6" s="330"/>
      <c r="D6" s="331">
        <v>45</v>
      </c>
    </row>
    <row r="7" spans="2:8" x14ac:dyDescent="0.25">
      <c r="B7" s="325" t="s">
        <v>406</v>
      </c>
    </row>
    <row r="8" spans="2:8" ht="14.4" x14ac:dyDescent="0.3">
      <c r="B8" s="332" t="s">
        <v>407</v>
      </c>
    </row>
    <row r="9" spans="2:8" x14ac:dyDescent="0.25">
      <c r="B9" s="333"/>
    </row>
    <row r="10" spans="2:8" x14ac:dyDescent="0.25">
      <c r="B10" s="334" t="s">
        <v>131</v>
      </c>
      <c r="C10" s="325">
        <f>Inputs!B10</f>
        <v>2021</v>
      </c>
      <c r="D10" s="335"/>
    </row>
    <row r="11" spans="2:8" x14ac:dyDescent="0.25">
      <c r="C11" s="336"/>
      <c r="D11" s="337"/>
      <c r="G11" s="336"/>
      <c r="H11" s="337"/>
    </row>
    <row r="12" spans="2:8" x14ac:dyDescent="0.25">
      <c r="B12" s="325" t="s">
        <v>408</v>
      </c>
      <c r="C12" s="338" t="s">
        <v>409</v>
      </c>
      <c r="G12" s="339"/>
    </row>
    <row r="13" spans="2:8" x14ac:dyDescent="0.25">
      <c r="B13" s="325" t="s">
        <v>410</v>
      </c>
      <c r="C13" s="340">
        <f>Inputs!B7+20</f>
        <v>2048</v>
      </c>
      <c r="D13" s="341"/>
    </row>
    <row r="14" spans="2:8" x14ac:dyDescent="0.25">
      <c r="B14" s="325" t="s">
        <v>411</v>
      </c>
      <c r="C14" s="342">
        <v>0.8</v>
      </c>
    </row>
    <row r="15" spans="2:8" x14ac:dyDescent="0.25">
      <c r="B15" s="343" t="str">
        <f>Inputs!A3</f>
        <v xml:space="preserve">Discount Rate </v>
      </c>
      <c r="C15" s="342">
        <f>Inputs!B3</f>
        <v>7.0000000000000007E-2</v>
      </c>
    </row>
    <row r="16" spans="2:8" x14ac:dyDescent="0.25">
      <c r="B16" s="343"/>
      <c r="C16" s="342"/>
    </row>
    <row r="17" spans="2:11" x14ac:dyDescent="0.25">
      <c r="B17" s="326"/>
      <c r="C17" s="338" t="s">
        <v>412</v>
      </c>
      <c r="D17" s="340" t="s">
        <v>404</v>
      </c>
      <c r="E17" s="340" t="s">
        <v>413</v>
      </c>
      <c r="F17" s="340" t="s">
        <v>134</v>
      </c>
    </row>
    <row r="18" spans="2:11" x14ac:dyDescent="0.25">
      <c r="B18" s="334" t="s">
        <v>414</v>
      </c>
      <c r="C18" s="344">
        <f>(SUM('Cost&amp;Schedule'!F3:F6))*C14</f>
        <v>259244000</v>
      </c>
      <c r="D18" s="340">
        <f>$D$6</f>
        <v>45</v>
      </c>
      <c r="E18" s="344">
        <f>(C18)*(D18-20)/D18</f>
        <v>144024444.44444445</v>
      </c>
      <c r="F18" s="344">
        <f>E18/(1+$C$15)^($C$13-$C$10)</f>
        <v>23177906.744681958</v>
      </c>
      <c r="I18" s="345"/>
      <c r="J18" s="346"/>
    </row>
    <row r="19" spans="2:11" x14ac:dyDescent="0.25">
      <c r="B19" s="334" t="s">
        <v>415</v>
      </c>
      <c r="C19" s="344">
        <f>'Cost&amp;Schedule'!C16</f>
        <v>3602194</v>
      </c>
      <c r="D19" s="340" t="s">
        <v>416</v>
      </c>
      <c r="E19" s="344">
        <f>C19</f>
        <v>3602194</v>
      </c>
      <c r="F19" s="344">
        <f>E19/(1+$C$15)^($C$13-$C$10)</f>
        <v>579702.4035073336</v>
      </c>
      <c r="I19" s="344"/>
      <c r="J19" s="347"/>
      <c r="K19" s="348"/>
    </row>
    <row r="20" spans="2:11" x14ac:dyDescent="0.25">
      <c r="C20" s="479" t="str">
        <f>"Total Value Remaining after "&amp;$C$13</f>
        <v>Total Value Remaining after 2048</v>
      </c>
      <c r="D20" s="479"/>
      <c r="E20" s="344">
        <f>SUM(E18:E19)</f>
        <v>147626638.44444445</v>
      </c>
      <c r="F20" s="344">
        <f>SUM(F18:F19)</f>
        <v>23757609.148189291</v>
      </c>
    </row>
  </sheetData>
  <mergeCells count="1">
    <mergeCell ref="C20:D20"/>
  </mergeCells>
  <phoneticPr fontId="47" type="noConversion"/>
  <hyperlinks>
    <hyperlink ref="B8" r:id="rId1" xr:uid="{00000000-0004-0000-0800-000007000000}"/>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56E78-3574-49E3-814E-26D9733E9045}">
  <sheetPr filterMode="1">
    <tabColor rgb="FFCDE0FF"/>
  </sheetPr>
  <dimension ref="A1:V605"/>
  <sheetViews>
    <sheetView topLeftCell="E1" zoomScale="85" zoomScaleNormal="85" workbookViewId="0">
      <selection activeCell="X26" sqref="X26"/>
    </sheetView>
  </sheetViews>
  <sheetFormatPr defaultRowHeight="13.2" x14ac:dyDescent="0.25"/>
  <cols>
    <col min="1" max="1" width="8" style="75" bestFit="1" customWidth="1"/>
    <col min="2" max="2" width="16.5546875" style="75" bestFit="1" customWidth="1"/>
    <col min="3" max="3" width="10.33203125" style="75" bestFit="1" customWidth="1"/>
    <col min="4" max="4" width="10.44140625" style="75" bestFit="1" customWidth="1"/>
    <col min="5" max="5" width="21.33203125" style="75" bestFit="1" customWidth="1"/>
    <col min="6" max="7" width="11.6640625" style="75" bestFit="1" customWidth="1"/>
    <col min="8" max="9" width="9.33203125" style="75" bestFit="1" customWidth="1"/>
    <col min="10" max="10" width="12.6640625" style="75" bestFit="1" customWidth="1"/>
    <col min="11" max="11" width="5" style="75" bestFit="1" customWidth="1"/>
    <col min="12" max="12" width="5.6640625" style="75" bestFit="1" customWidth="1"/>
    <col min="13" max="13" width="8.6640625" style="75" bestFit="1" customWidth="1"/>
    <col min="14" max="14" width="6.44140625" style="75" bestFit="1" customWidth="1"/>
    <col min="15" max="15" width="10.44140625" style="75" bestFit="1" customWidth="1"/>
    <col min="16" max="16" width="15.6640625" style="75" bestFit="1" customWidth="1"/>
    <col min="17" max="17" width="12.6640625" style="75" bestFit="1" customWidth="1"/>
    <col min="18" max="18" width="17.33203125" style="75" bestFit="1" customWidth="1"/>
    <col min="19" max="19" width="14.6640625" style="75" bestFit="1" customWidth="1"/>
    <col min="20" max="20" width="10.33203125" style="75" bestFit="1" customWidth="1"/>
    <col min="21" max="21" width="12.44140625" style="75" customWidth="1"/>
    <col min="22" max="256" width="9.33203125" style="75"/>
    <col min="257" max="257" width="8" style="75" bestFit="1" customWidth="1"/>
    <col min="258" max="258" width="16.5546875" style="75" bestFit="1" customWidth="1"/>
    <col min="259" max="259" width="10.33203125" style="75" bestFit="1" customWidth="1"/>
    <col min="260" max="260" width="10.44140625" style="75" bestFit="1" customWidth="1"/>
    <col min="261" max="261" width="21.33203125" style="75" bestFit="1" customWidth="1"/>
    <col min="262" max="263" width="11.6640625" style="75" bestFit="1" customWidth="1"/>
    <col min="264" max="265" width="9.33203125" style="75" bestFit="1" customWidth="1"/>
    <col min="266" max="266" width="12.6640625" style="75" bestFit="1" customWidth="1"/>
    <col min="267" max="267" width="5" style="75" bestFit="1" customWidth="1"/>
    <col min="268" max="268" width="5.6640625" style="75" bestFit="1" customWidth="1"/>
    <col min="269" max="269" width="8.6640625" style="75" bestFit="1" customWidth="1"/>
    <col min="270" max="270" width="6.44140625" style="75" bestFit="1" customWidth="1"/>
    <col min="271" max="271" width="10.44140625" style="75" bestFit="1" customWidth="1"/>
    <col min="272" max="272" width="15.6640625" style="75" bestFit="1" customWidth="1"/>
    <col min="273" max="273" width="12.6640625" style="75" bestFit="1" customWidth="1"/>
    <col min="274" max="274" width="17.33203125" style="75" bestFit="1" customWidth="1"/>
    <col min="275" max="275" width="14.6640625" style="75" bestFit="1" customWidth="1"/>
    <col min="276" max="276" width="10.33203125" style="75" bestFit="1" customWidth="1"/>
    <col min="277" max="277" width="12.44140625" style="75" customWidth="1"/>
    <col min="278" max="512" width="9.33203125" style="75"/>
    <col min="513" max="513" width="8" style="75" bestFit="1" customWidth="1"/>
    <col min="514" max="514" width="16.5546875" style="75" bestFit="1" customWidth="1"/>
    <col min="515" max="515" width="10.33203125" style="75" bestFit="1" customWidth="1"/>
    <col min="516" max="516" width="10.44140625" style="75" bestFit="1" customWidth="1"/>
    <col min="517" max="517" width="21.33203125" style="75" bestFit="1" customWidth="1"/>
    <col min="518" max="519" width="11.6640625" style="75" bestFit="1" customWidth="1"/>
    <col min="520" max="521" width="9.33203125" style="75" bestFit="1" customWidth="1"/>
    <col min="522" max="522" width="12.6640625" style="75" bestFit="1" customWidth="1"/>
    <col min="523" max="523" width="5" style="75" bestFit="1" customWidth="1"/>
    <col min="524" max="524" width="5.6640625" style="75" bestFit="1" customWidth="1"/>
    <col min="525" max="525" width="8.6640625" style="75" bestFit="1" customWidth="1"/>
    <col min="526" max="526" width="6.44140625" style="75" bestFit="1" customWidth="1"/>
    <col min="527" max="527" width="10.44140625" style="75" bestFit="1" customWidth="1"/>
    <col min="528" max="528" width="15.6640625" style="75" bestFit="1" customWidth="1"/>
    <col min="529" max="529" width="12.6640625" style="75" bestFit="1" customWidth="1"/>
    <col min="530" max="530" width="17.33203125" style="75" bestFit="1" customWidth="1"/>
    <col min="531" max="531" width="14.6640625" style="75" bestFit="1" customWidth="1"/>
    <col min="532" max="532" width="10.33203125" style="75" bestFit="1" customWidth="1"/>
    <col min="533" max="533" width="12.44140625" style="75" customWidth="1"/>
    <col min="534" max="768" width="9.33203125" style="75"/>
    <col min="769" max="769" width="8" style="75" bestFit="1" customWidth="1"/>
    <col min="770" max="770" width="16.5546875" style="75" bestFit="1" customWidth="1"/>
    <col min="771" max="771" width="10.33203125" style="75" bestFit="1" customWidth="1"/>
    <col min="772" max="772" width="10.44140625" style="75" bestFit="1" customWidth="1"/>
    <col min="773" max="773" width="21.33203125" style="75" bestFit="1" customWidth="1"/>
    <col min="774" max="775" width="11.6640625" style="75" bestFit="1" customWidth="1"/>
    <col min="776" max="777" width="9.33203125" style="75" bestFit="1" customWidth="1"/>
    <col min="778" max="778" width="12.6640625" style="75" bestFit="1" customWidth="1"/>
    <col min="779" max="779" width="5" style="75" bestFit="1" customWidth="1"/>
    <col min="780" max="780" width="5.6640625" style="75" bestFit="1" customWidth="1"/>
    <col min="781" max="781" width="8.6640625" style="75" bestFit="1" customWidth="1"/>
    <col min="782" max="782" width="6.44140625" style="75" bestFit="1" customWidth="1"/>
    <col min="783" max="783" width="10.44140625" style="75" bestFit="1" customWidth="1"/>
    <col min="784" max="784" width="15.6640625" style="75" bestFit="1" customWidth="1"/>
    <col min="785" max="785" width="12.6640625" style="75" bestFit="1" customWidth="1"/>
    <col min="786" max="786" width="17.33203125" style="75" bestFit="1" customWidth="1"/>
    <col min="787" max="787" width="14.6640625" style="75" bestFit="1" customWidth="1"/>
    <col min="788" max="788" width="10.33203125" style="75" bestFit="1" customWidth="1"/>
    <col min="789" max="789" width="12.44140625" style="75" customWidth="1"/>
    <col min="790" max="1024" width="9.33203125" style="75"/>
    <col min="1025" max="1025" width="8" style="75" bestFit="1" customWidth="1"/>
    <col min="1026" max="1026" width="16.5546875" style="75" bestFit="1" customWidth="1"/>
    <col min="1027" max="1027" width="10.33203125" style="75" bestFit="1" customWidth="1"/>
    <col min="1028" max="1028" width="10.44140625" style="75" bestFit="1" customWidth="1"/>
    <col min="1029" max="1029" width="21.33203125" style="75" bestFit="1" customWidth="1"/>
    <col min="1030" max="1031" width="11.6640625" style="75" bestFit="1" customWidth="1"/>
    <col min="1032" max="1033" width="9.33203125" style="75" bestFit="1" customWidth="1"/>
    <col min="1034" max="1034" width="12.6640625" style="75" bestFit="1" customWidth="1"/>
    <col min="1035" max="1035" width="5" style="75" bestFit="1" customWidth="1"/>
    <col min="1036" max="1036" width="5.6640625" style="75" bestFit="1" customWidth="1"/>
    <col min="1037" max="1037" width="8.6640625" style="75" bestFit="1" customWidth="1"/>
    <col min="1038" max="1038" width="6.44140625" style="75" bestFit="1" customWidth="1"/>
    <col min="1039" max="1039" width="10.44140625" style="75" bestFit="1" customWidth="1"/>
    <col min="1040" max="1040" width="15.6640625" style="75" bestFit="1" customWidth="1"/>
    <col min="1041" max="1041" width="12.6640625" style="75" bestFit="1" customWidth="1"/>
    <col min="1042" max="1042" width="17.33203125" style="75" bestFit="1" customWidth="1"/>
    <col min="1043" max="1043" width="14.6640625" style="75" bestFit="1" customWidth="1"/>
    <col min="1044" max="1044" width="10.33203125" style="75" bestFit="1" customWidth="1"/>
    <col min="1045" max="1045" width="12.44140625" style="75" customWidth="1"/>
    <col min="1046" max="1280" width="9.33203125" style="75"/>
    <col min="1281" max="1281" width="8" style="75" bestFit="1" customWidth="1"/>
    <col min="1282" max="1282" width="16.5546875" style="75" bestFit="1" customWidth="1"/>
    <col min="1283" max="1283" width="10.33203125" style="75" bestFit="1" customWidth="1"/>
    <col min="1284" max="1284" width="10.44140625" style="75" bestFit="1" customWidth="1"/>
    <col min="1285" max="1285" width="21.33203125" style="75" bestFit="1" customWidth="1"/>
    <col min="1286" max="1287" width="11.6640625" style="75" bestFit="1" customWidth="1"/>
    <col min="1288" max="1289" width="9.33203125" style="75" bestFit="1" customWidth="1"/>
    <col min="1290" max="1290" width="12.6640625" style="75" bestFit="1" customWidth="1"/>
    <col min="1291" max="1291" width="5" style="75" bestFit="1" customWidth="1"/>
    <col min="1292" max="1292" width="5.6640625" style="75" bestFit="1" customWidth="1"/>
    <col min="1293" max="1293" width="8.6640625" style="75" bestFit="1" customWidth="1"/>
    <col min="1294" max="1294" width="6.44140625" style="75" bestFit="1" customWidth="1"/>
    <col min="1295" max="1295" width="10.44140625" style="75" bestFit="1" customWidth="1"/>
    <col min="1296" max="1296" width="15.6640625" style="75" bestFit="1" customWidth="1"/>
    <col min="1297" max="1297" width="12.6640625" style="75" bestFit="1" customWidth="1"/>
    <col min="1298" max="1298" width="17.33203125" style="75" bestFit="1" customWidth="1"/>
    <col min="1299" max="1299" width="14.6640625" style="75" bestFit="1" customWidth="1"/>
    <col min="1300" max="1300" width="10.33203125" style="75" bestFit="1" customWidth="1"/>
    <col min="1301" max="1301" width="12.44140625" style="75" customWidth="1"/>
    <col min="1302" max="1536" width="9.33203125" style="75"/>
    <col min="1537" max="1537" width="8" style="75" bestFit="1" customWidth="1"/>
    <col min="1538" max="1538" width="16.5546875" style="75" bestFit="1" customWidth="1"/>
    <col min="1539" max="1539" width="10.33203125" style="75" bestFit="1" customWidth="1"/>
    <col min="1540" max="1540" width="10.44140625" style="75" bestFit="1" customWidth="1"/>
    <col min="1541" max="1541" width="21.33203125" style="75" bestFit="1" customWidth="1"/>
    <col min="1542" max="1543" width="11.6640625" style="75" bestFit="1" customWidth="1"/>
    <col min="1544" max="1545" width="9.33203125" style="75" bestFit="1" customWidth="1"/>
    <col min="1546" max="1546" width="12.6640625" style="75" bestFit="1" customWidth="1"/>
    <col min="1547" max="1547" width="5" style="75" bestFit="1" customWidth="1"/>
    <col min="1548" max="1548" width="5.6640625" style="75" bestFit="1" customWidth="1"/>
    <col min="1549" max="1549" width="8.6640625" style="75" bestFit="1" customWidth="1"/>
    <col min="1550" max="1550" width="6.44140625" style="75" bestFit="1" customWidth="1"/>
    <col min="1551" max="1551" width="10.44140625" style="75" bestFit="1" customWidth="1"/>
    <col min="1552" max="1552" width="15.6640625" style="75" bestFit="1" customWidth="1"/>
    <col min="1553" max="1553" width="12.6640625" style="75" bestFit="1" customWidth="1"/>
    <col min="1554" max="1554" width="17.33203125" style="75" bestFit="1" customWidth="1"/>
    <col min="1555" max="1555" width="14.6640625" style="75" bestFit="1" customWidth="1"/>
    <col min="1556" max="1556" width="10.33203125" style="75" bestFit="1" customWidth="1"/>
    <col min="1557" max="1557" width="12.44140625" style="75" customWidth="1"/>
    <col min="1558" max="1792" width="9.33203125" style="75"/>
    <col min="1793" max="1793" width="8" style="75" bestFit="1" customWidth="1"/>
    <col min="1794" max="1794" width="16.5546875" style="75" bestFit="1" customWidth="1"/>
    <col min="1795" max="1795" width="10.33203125" style="75" bestFit="1" customWidth="1"/>
    <col min="1796" max="1796" width="10.44140625" style="75" bestFit="1" customWidth="1"/>
    <col min="1797" max="1797" width="21.33203125" style="75" bestFit="1" customWidth="1"/>
    <col min="1798" max="1799" width="11.6640625" style="75" bestFit="1" customWidth="1"/>
    <col min="1800" max="1801" width="9.33203125" style="75" bestFit="1" customWidth="1"/>
    <col min="1802" max="1802" width="12.6640625" style="75" bestFit="1" customWidth="1"/>
    <col min="1803" max="1803" width="5" style="75" bestFit="1" customWidth="1"/>
    <col min="1804" max="1804" width="5.6640625" style="75" bestFit="1" customWidth="1"/>
    <col min="1805" max="1805" width="8.6640625" style="75" bestFit="1" customWidth="1"/>
    <col min="1806" max="1806" width="6.44140625" style="75" bestFit="1" customWidth="1"/>
    <col min="1807" max="1807" width="10.44140625" style="75" bestFit="1" customWidth="1"/>
    <col min="1808" max="1808" width="15.6640625" style="75" bestFit="1" customWidth="1"/>
    <col min="1809" max="1809" width="12.6640625" style="75" bestFit="1" customWidth="1"/>
    <col min="1810" max="1810" width="17.33203125" style="75" bestFit="1" customWidth="1"/>
    <col min="1811" max="1811" width="14.6640625" style="75" bestFit="1" customWidth="1"/>
    <col min="1812" max="1812" width="10.33203125" style="75" bestFit="1" customWidth="1"/>
    <col min="1813" max="1813" width="12.44140625" style="75" customWidth="1"/>
    <col min="1814" max="2048" width="9.33203125" style="75"/>
    <col min="2049" max="2049" width="8" style="75" bestFit="1" customWidth="1"/>
    <col min="2050" max="2050" width="16.5546875" style="75" bestFit="1" customWidth="1"/>
    <col min="2051" max="2051" width="10.33203125" style="75" bestFit="1" customWidth="1"/>
    <col min="2052" max="2052" width="10.44140625" style="75" bestFit="1" customWidth="1"/>
    <col min="2053" max="2053" width="21.33203125" style="75" bestFit="1" customWidth="1"/>
    <col min="2054" max="2055" width="11.6640625" style="75" bestFit="1" customWidth="1"/>
    <col min="2056" max="2057" width="9.33203125" style="75" bestFit="1" customWidth="1"/>
    <col min="2058" max="2058" width="12.6640625" style="75" bestFit="1" customWidth="1"/>
    <col min="2059" max="2059" width="5" style="75" bestFit="1" customWidth="1"/>
    <col min="2060" max="2060" width="5.6640625" style="75" bestFit="1" customWidth="1"/>
    <col min="2061" max="2061" width="8.6640625" style="75" bestFit="1" customWidth="1"/>
    <col min="2062" max="2062" width="6.44140625" style="75" bestFit="1" customWidth="1"/>
    <col min="2063" max="2063" width="10.44140625" style="75" bestFit="1" customWidth="1"/>
    <col min="2064" max="2064" width="15.6640625" style="75" bestFit="1" customWidth="1"/>
    <col min="2065" max="2065" width="12.6640625" style="75" bestFit="1" customWidth="1"/>
    <col min="2066" max="2066" width="17.33203125" style="75" bestFit="1" customWidth="1"/>
    <col min="2067" max="2067" width="14.6640625" style="75" bestFit="1" customWidth="1"/>
    <col min="2068" max="2068" width="10.33203125" style="75" bestFit="1" customWidth="1"/>
    <col min="2069" max="2069" width="12.44140625" style="75" customWidth="1"/>
    <col min="2070" max="2304" width="9.33203125" style="75"/>
    <col min="2305" max="2305" width="8" style="75" bestFit="1" customWidth="1"/>
    <col min="2306" max="2306" width="16.5546875" style="75" bestFit="1" customWidth="1"/>
    <col min="2307" max="2307" width="10.33203125" style="75" bestFit="1" customWidth="1"/>
    <col min="2308" max="2308" width="10.44140625" style="75" bestFit="1" customWidth="1"/>
    <col min="2309" max="2309" width="21.33203125" style="75" bestFit="1" customWidth="1"/>
    <col min="2310" max="2311" width="11.6640625" style="75" bestFit="1" customWidth="1"/>
    <col min="2312" max="2313" width="9.33203125" style="75" bestFit="1" customWidth="1"/>
    <col min="2314" max="2314" width="12.6640625" style="75" bestFit="1" customWidth="1"/>
    <col min="2315" max="2315" width="5" style="75" bestFit="1" customWidth="1"/>
    <col min="2316" max="2316" width="5.6640625" style="75" bestFit="1" customWidth="1"/>
    <col min="2317" max="2317" width="8.6640625" style="75" bestFit="1" customWidth="1"/>
    <col min="2318" max="2318" width="6.44140625" style="75" bestFit="1" customWidth="1"/>
    <col min="2319" max="2319" width="10.44140625" style="75" bestFit="1" customWidth="1"/>
    <col min="2320" max="2320" width="15.6640625" style="75" bestFit="1" customWidth="1"/>
    <col min="2321" max="2321" width="12.6640625" style="75" bestFit="1" customWidth="1"/>
    <col min="2322" max="2322" width="17.33203125" style="75" bestFit="1" customWidth="1"/>
    <col min="2323" max="2323" width="14.6640625" style="75" bestFit="1" customWidth="1"/>
    <col min="2324" max="2324" width="10.33203125" style="75" bestFit="1" customWidth="1"/>
    <col min="2325" max="2325" width="12.44140625" style="75" customWidth="1"/>
    <col min="2326" max="2560" width="9.33203125" style="75"/>
    <col min="2561" max="2561" width="8" style="75" bestFit="1" customWidth="1"/>
    <col min="2562" max="2562" width="16.5546875" style="75" bestFit="1" customWidth="1"/>
    <col min="2563" max="2563" width="10.33203125" style="75" bestFit="1" customWidth="1"/>
    <col min="2564" max="2564" width="10.44140625" style="75" bestFit="1" customWidth="1"/>
    <col min="2565" max="2565" width="21.33203125" style="75" bestFit="1" customWidth="1"/>
    <col min="2566" max="2567" width="11.6640625" style="75" bestFit="1" customWidth="1"/>
    <col min="2568" max="2569" width="9.33203125" style="75" bestFit="1" customWidth="1"/>
    <col min="2570" max="2570" width="12.6640625" style="75" bestFit="1" customWidth="1"/>
    <col min="2571" max="2571" width="5" style="75" bestFit="1" customWidth="1"/>
    <col min="2572" max="2572" width="5.6640625" style="75" bestFit="1" customWidth="1"/>
    <col min="2573" max="2573" width="8.6640625" style="75" bestFit="1" customWidth="1"/>
    <col min="2574" max="2574" width="6.44140625" style="75" bestFit="1" customWidth="1"/>
    <col min="2575" max="2575" width="10.44140625" style="75" bestFit="1" customWidth="1"/>
    <col min="2576" max="2576" width="15.6640625" style="75" bestFit="1" customWidth="1"/>
    <col min="2577" max="2577" width="12.6640625" style="75" bestFit="1" customWidth="1"/>
    <col min="2578" max="2578" width="17.33203125" style="75" bestFit="1" customWidth="1"/>
    <col min="2579" max="2579" width="14.6640625" style="75" bestFit="1" customWidth="1"/>
    <col min="2580" max="2580" width="10.33203125" style="75" bestFit="1" customWidth="1"/>
    <col min="2581" max="2581" width="12.44140625" style="75" customWidth="1"/>
    <col min="2582" max="2816" width="9.33203125" style="75"/>
    <col min="2817" max="2817" width="8" style="75" bestFit="1" customWidth="1"/>
    <col min="2818" max="2818" width="16.5546875" style="75" bestFit="1" customWidth="1"/>
    <col min="2819" max="2819" width="10.33203125" style="75" bestFit="1" customWidth="1"/>
    <col min="2820" max="2820" width="10.44140625" style="75" bestFit="1" customWidth="1"/>
    <col min="2821" max="2821" width="21.33203125" style="75" bestFit="1" customWidth="1"/>
    <col min="2822" max="2823" width="11.6640625" style="75" bestFit="1" customWidth="1"/>
    <col min="2824" max="2825" width="9.33203125" style="75" bestFit="1" customWidth="1"/>
    <col min="2826" max="2826" width="12.6640625" style="75" bestFit="1" customWidth="1"/>
    <col min="2827" max="2827" width="5" style="75" bestFit="1" customWidth="1"/>
    <col min="2828" max="2828" width="5.6640625" style="75" bestFit="1" customWidth="1"/>
    <col min="2829" max="2829" width="8.6640625" style="75" bestFit="1" customWidth="1"/>
    <col min="2830" max="2830" width="6.44140625" style="75" bestFit="1" customWidth="1"/>
    <col min="2831" max="2831" width="10.44140625" style="75" bestFit="1" customWidth="1"/>
    <col min="2832" max="2832" width="15.6640625" style="75" bestFit="1" customWidth="1"/>
    <col min="2833" max="2833" width="12.6640625" style="75" bestFit="1" customWidth="1"/>
    <col min="2834" max="2834" width="17.33203125" style="75" bestFit="1" customWidth="1"/>
    <col min="2835" max="2835" width="14.6640625" style="75" bestFit="1" customWidth="1"/>
    <col min="2836" max="2836" width="10.33203125" style="75" bestFit="1" customWidth="1"/>
    <col min="2837" max="2837" width="12.44140625" style="75" customWidth="1"/>
    <col min="2838" max="3072" width="9.33203125" style="75"/>
    <col min="3073" max="3073" width="8" style="75" bestFit="1" customWidth="1"/>
    <col min="3074" max="3074" width="16.5546875" style="75" bestFit="1" customWidth="1"/>
    <col min="3075" max="3075" width="10.33203125" style="75" bestFit="1" customWidth="1"/>
    <col min="3076" max="3076" width="10.44140625" style="75" bestFit="1" customWidth="1"/>
    <col min="3077" max="3077" width="21.33203125" style="75" bestFit="1" customWidth="1"/>
    <col min="3078" max="3079" width="11.6640625" style="75" bestFit="1" customWidth="1"/>
    <col min="3080" max="3081" width="9.33203125" style="75" bestFit="1" customWidth="1"/>
    <col min="3082" max="3082" width="12.6640625" style="75" bestFit="1" customWidth="1"/>
    <col min="3083" max="3083" width="5" style="75" bestFit="1" customWidth="1"/>
    <col min="3084" max="3084" width="5.6640625" style="75" bestFit="1" customWidth="1"/>
    <col min="3085" max="3085" width="8.6640625" style="75" bestFit="1" customWidth="1"/>
    <col min="3086" max="3086" width="6.44140625" style="75" bestFit="1" customWidth="1"/>
    <col min="3087" max="3087" width="10.44140625" style="75" bestFit="1" customWidth="1"/>
    <col min="3088" max="3088" width="15.6640625" style="75" bestFit="1" customWidth="1"/>
    <col min="3089" max="3089" width="12.6640625" style="75" bestFit="1" customWidth="1"/>
    <col min="3090" max="3090" width="17.33203125" style="75" bestFit="1" customWidth="1"/>
    <col min="3091" max="3091" width="14.6640625" style="75" bestFit="1" customWidth="1"/>
    <col min="3092" max="3092" width="10.33203125" style="75" bestFit="1" customWidth="1"/>
    <col min="3093" max="3093" width="12.44140625" style="75" customWidth="1"/>
    <col min="3094" max="3328" width="9.33203125" style="75"/>
    <col min="3329" max="3329" width="8" style="75" bestFit="1" customWidth="1"/>
    <col min="3330" max="3330" width="16.5546875" style="75" bestFit="1" customWidth="1"/>
    <col min="3331" max="3331" width="10.33203125" style="75" bestFit="1" customWidth="1"/>
    <col min="3332" max="3332" width="10.44140625" style="75" bestFit="1" customWidth="1"/>
    <col min="3333" max="3333" width="21.33203125" style="75" bestFit="1" customWidth="1"/>
    <col min="3334" max="3335" width="11.6640625" style="75" bestFit="1" customWidth="1"/>
    <col min="3336" max="3337" width="9.33203125" style="75" bestFit="1" customWidth="1"/>
    <col min="3338" max="3338" width="12.6640625" style="75" bestFit="1" customWidth="1"/>
    <col min="3339" max="3339" width="5" style="75" bestFit="1" customWidth="1"/>
    <col min="3340" max="3340" width="5.6640625" style="75" bestFit="1" customWidth="1"/>
    <col min="3341" max="3341" width="8.6640625" style="75" bestFit="1" customWidth="1"/>
    <col min="3342" max="3342" width="6.44140625" style="75" bestFit="1" customWidth="1"/>
    <col min="3343" max="3343" width="10.44140625" style="75" bestFit="1" customWidth="1"/>
    <col min="3344" max="3344" width="15.6640625" style="75" bestFit="1" customWidth="1"/>
    <col min="3345" max="3345" width="12.6640625" style="75" bestFit="1" customWidth="1"/>
    <col min="3346" max="3346" width="17.33203125" style="75" bestFit="1" customWidth="1"/>
    <col min="3347" max="3347" width="14.6640625" style="75" bestFit="1" customWidth="1"/>
    <col min="3348" max="3348" width="10.33203125" style="75" bestFit="1" customWidth="1"/>
    <col min="3349" max="3349" width="12.44140625" style="75" customWidth="1"/>
    <col min="3350" max="3584" width="9.33203125" style="75"/>
    <col min="3585" max="3585" width="8" style="75" bestFit="1" customWidth="1"/>
    <col min="3586" max="3586" width="16.5546875" style="75" bestFit="1" customWidth="1"/>
    <col min="3587" max="3587" width="10.33203125" style="75" bestFit="1" customWidth="1"/>
    <col min="3588" max="3588" width="10.44140625" style="75" bestFit="1" customWidth="1"/>
    <col min="3589" max="3589" width="21.33203125" style="75" bestFit="1" customWidth="1"/>
    <col min="3590" max="3591" width="11.6640625" style="75" bestFit="1" customWidth="1"/>
    <col min="3592" max="3593" width="9.33203125" style="75" bestFit="1" customWidth="1"/>
    <col min="3594" max="3594" width="12.6640625" style="75" bestFit="1" customWidth="1"/>
    <col min="3595" max="3595" width="5" style="75" bestFit="1" customWidth="1"/>
    <col min="3596" max="3596" width="5.6640625" style="75" bestFit="1" customWidth="1"/>
    <col min="3597" max="3597" width="8.6640625" style="75" bestFit="1" customWidth="1"/>
    <col min="3598" max="3598" width="6.44140625" style="75" bestFit="1" customWidth="1"/>
    <col min="3599" max="3599" width="10.44140625" style="75" bestFit="1" customWidth="1"/>
    <col min="3600" max="3600" width="15.6640625" style="75" bestFit="1" customWidth="1"/>
    <col min="3601" max="3601" width="12.6640625" style="75" bestFit="1" customWidth="1"/>
    <col min="3602" max="3602" width="17.33203125" style="75" bestFit="1" customWidth="1"/>
    <col min="3603" max="3603" width="14.6640625" style="75" bestFit="1" customWidth="1"/>
    <col min="3604" max="3604" width="10.33203125" style="75" bestFit="1" customWidth="1"/>
    <col min="3605" max="3605" width="12.44140625" style="75" customWidth="1"/>
    <col min="3606" max="3840" width="9.33203125" style="75"/>
    <col min="3841" max="3841" width="8" style="75" bestFit="1" customWidth="1"/>
    <col min="3842" max="3842" width="16.5546875" style="75" bestFit="1" customWidth="1"/>
    <col min="3843" max="3843" width="10.33203125" style="75" bestFit="1" customWidth="1"/>
    <col min="3844" max="3844" width="10.44140625" style="75" bestFit="1" customWidth="1"/>
    <col min="3845" max="3845" width="21.33203125" style="75" bestFit="1" customWidth="1"/>
    <col min="3846" max="3847" width="11.6640625" style="75" bestFit="1" customWidth="1"/>
    <col min="3848" max="3849" width="9.33203125" style="75" bestFit="1" customWidth="1"/>
    <col min="3850" max="3850" width="12.6640625" style="75" bestFit="1" customWidth="1"/>
    <col min="3851" max="3851" width="5" style="75" bestFit="1" customWidth="1"/>
    <col min="3852" max="3852" width="5.6640625" style="75" bestFit="1" customWidth="1"/>
    <col min="3853" max="3853" width="8.6640625" style="75" bestFit="1" customWidth="1"/>
    <col min="3854" max="3854" width="6.44140625" style="75" bestFit="1" customWidth="1"/>
    <col min="3855" max="3855" width="10.44140625" style="75" bestFit="1" customWidth="1"/>
    <col min="3856" max="3856" width="15.6640625" style="75" bestFit="1" customWidth="1"/>
    <col min="3857" max="3857" width="12.6640625" style="75" bestFit="1" customWidth="1"/>
    <col min="3858" max="3858" width="17.33203125" style="75" bestFit="1" customWidth="1"/>
    <col min="3859" max="3859" width="14.6640625" style="75" bestFit="1" customWidth="1"/>
    <col min="3860" max="3860" width="10.33203125" style="75" bestFit="1" customWidth="1"/>
    <col min="3861" max="3861" width="12.44140625" style="75" customWidth="1"/>
    <col min="3862" max="4096" width="9.33203125" style="75"/>
    <col min="4097" max="4097" width="8" style="75" bestFit="1" customWidth="1"/>
    <col min="4098" max="4098" width="16.5546875" style="75" bestFit="1" customWidth="1"/>
    <col min="4099" max="4099" width="10.33203125" style="75" bestFit="1" customWidth="1"/>
    <col min="4100" max="4100" width="10.44140625" style="75" bestFit="1" customWidth="1"/>
    <col min="4101" max="4101" width="21.33203125" style="75" bestFit="1" customWidth="1"/>
    <col min="4102" max="4103" width="11.6640625" style="75" bestFit="1" customWidth="1"/>
    <col min="4104" max="4105" width="9.33203125" style="75" bestFit="1" customWidth="1"/>
    <col min="4106" max="4106" width="12.6640625" style="75" bestFit="1" customWidth="1"/>
    <col min="4107" max="4107" width="5" style="75" bestFit="1" customWidth="1"/>
    <col min="4108" max="4108" width="5.6640625" style="75" bestFit="1" customWidth="1"/>
    <col min="4109" max="4109" width="8.6640625" style="75" bestFit="1" customWidth="1"/>
    <col min="4110" max="4110" width="6.44140625" style="75" bestFit="1" customWidth="1"/>
    <col min="4111" max="4111" width="10.44140625" style="75" bestFit="1" customWidth="1"/>
    <col min="4112" max="4112" width="15.6640625" style="75" bestFit="1" customWidth="1"/>
    <col min="4113" max="4113" width="12.6640625" style="75" bestFit="1" customWidth="1"/>
    <col min="4114" max="4114" width="17.33203125" style="75" bestFit="1" customWidth="1"/>
    <col min="4115" max="4115" width="14.6640625" style="75" bestFit="1" customWidth="1"/>
    <col min="4116" max="4116" width="10.33203125" style="75" bestFit="1" customWidth="1"/>
    <col min="4117" max="4117" width="12.44140625" style="75" customWidth="1"/>
    <col min="4118" max="4352" width="9.33203125" style="75"/>
    <col min="4353" max="4353" width="8" style="75" bestFit="1" customWidth="1"/>
    <col min="4354" max="4354" width="16.5546875" style="75" bestFit="1" customWidth="1"/>
    <col min="4355" max="4355" width="10.33203125" style="75" bestFit="1" customWidth="1"/>
    <col min="4356" max="4356" width="10.44140625" style="75" bestFit="1" customWidth="1"/>
    <col min="4357" max="4357" width="21.33203125" style="75" bestFit="1" customWidth="1"/>
    <col min="4358" max="4359" width="11.6640625" style="75" bestFit="1" customWidth="1"/>
    <col min="4360" max="4361" width="9.33203125" style="75" bestFit="1" customWidth="1"/>
    <col min="4362" max="4362" width="12.6640625" style="75" bestFit="1" customWidth="1"/>
    <col min="4363" max="4363" width="5" style="75" bestFit="1" customWidth="1"/>
    <col min="4364" max="4364" width="5.6640625" style="75" bestFit="1" customWidth="1"/>
    <col min="4365" max="4365" width="8.6640625" style="75" bestFit="1" customWidth="1"/>
    <col min="4366" max="4366" width="6.44140625" style="75" bestFit="1" customWidth="1"/>
    <col min="4367" max="4367" width="10.44140625" style="75" bestFit="1" customWidth="1"/>
    <col min="4368" max="4368" width="15.6640625" style="75" bestFit="1" customWidth="1"/>
    <col min="4369" max="4369" width="12.6640625" style="75" bestFit="1" customWidth="1"/>
    <col min="4370" max="4370" width="17.33203125" style="75" bestFit="1" customWidth="1"/>
    <col min="4371" max="4371" width="14.6640625" style="75" bestFit="1" customWidth="1"/>
    <col min="4372" max="4372" width="10.33203125" style="75" bestFit="1" customWidth="1"/>
    <col min="4373" max="4373" width="12.44140625" style="75" customWidth="1"/>
    <col min="4374" max="4608" width="9.33203125" style="75"/>
    <col min="4609" max="4609" width="8" style="75" bestFit="1" customWidth="1"/>
    <col min="4610" max="4610" width="16.5546875" style="75" bestFit="1" customWidth="1"/>
    <col min="4611" max="4611" width="10.33203125" style="75" bestFit="1" customWidth="1"/>
    <col min="4612" max="4612" width="10.44140625" style="75" bestFit="1" customWidth="1"/>
    <col min="4613" max="4613" width="21.33203125" style="75" bestFit="1" customWidth="1"/>
    <col min="4614" max="4615" width="11.6640625" style="75" bestFit="1" customWidth="1"/>
    <col min="4616" max="4617" width="9.33203125" style="75" bestFit="1" customWidth="1"/>
    <col min="4618" max="4618" width="12.6640625" style="75" bestFit="1" customWidth="1"/>
    <col min="4619" max="4619" width="5" style="75" bestFit="1" customWidth="1"/>
    <col min="4620" max="4620" width="5.6640625" style="75" bestFit="1" customWidth="1"/>
    <col min="4621" max="4621" width="8.6640625" style="75" bestFit="1" customWidth="1"/>
    <col min="4622" max="4622" width="6.44140625" style="75" bestFit="1" customWidth="1"/>
    <col min="4623" max="4623" width="10.44140625" style="75" bestFit="1" customWidth="1"/>
    <col min="4624" max="4624" width="15.6640625" style="75" bestFit="1" customWidth="1"/>
    <col min="4625" max="4625" width="12.6640625" style="75" bestFit="1" customWidth="1"/>
    <col min="4626" max="4626" width="17.33203125" style="75" bestFit="1" customWidth="1"/>
    <col min="4627" max="4627" width="14.6640625" style="75" bestFit="1" customWidth="1"/>
    <col min="4628" max="4628" width="10.33203125" style="75" bestFit="1" customWidth="1"/>
    <col min="4629" max="4629" width="12.44140625" style="75" customWidth="1"/>
    <col min="4630" max="4864" width="9.33203125" style="75"/>
    <col min="4865" max="4865" width="8" style="75" bestFit="1" customWidth="1"/>
    <col min="4866" max="4866" width="16.5546875" style="75" bestFit="1" customWidth="1"/>
    <col min="4867" max="4867" width="10.33203125" style="75" bestFit="1" customWidth="1"/>
    <col min="4868" max="4868" width="10.44140625" style="75" bestFit="1" customWidth="1"/>
    <col min="4869" max="4869" width="21.33203125" style="75" bestFit="1" customWidth="1"/>
    <col min="4870" max="4871" width="11.6640625" style="75" bestFit="1" customWidth="1"/>
    <col min="4872" max="4873" width="9.33203125" style="75" bestFit="1" customWidth="1"/>
    <col min="4874" max="4874" width="12.6640625" style="75" bestFit="1" customWidth="1"/>
    <col min="4875" max="4875" width="5" style="75" bestFit="1" customWidth="1"/>
    <col min="4876" max="4876" width="5.6640625" style="75" bestFit="1" customWidth="1"/>
    <col min="4877" max="4877" width="8.6640625" style="75" bestFit="1" customWidth="1"/>
    <col min="4878" max="4878" width="6.44140625" style="75" bestFit="1" customWidth="1"/>
    <col min="4879" max="4879" width="10.44140625" style="75" bestFit="1" customWidth="1"/>
    <col min="4880" max="4880" width="15.6640625" style="75" bestFit="1" customWidth="1"/>
    <col min="4881" max="4881" width="12.6640625" style="75" bestFit="1" customWidth="1"/>
    <col min="4882" max="4882" width="17.33203125" style="75" bestFit="1" customWidth="1"/>
    <col min="4883" max="4883" width="14.6640625" style="75" bestFit="1" customWidth="1"/>
    <col min="4884" max="4884" width="10.33203125" style="75" bestFit="1" customWidth="1"/>
    <col min="4885" max="4885" width="12.44140625" style="75" customWidth="1"/>
    <col min="4886" max="5120" width="9.33203125" style="75"/>
    <col min="5121" max="5121" width="8" style="75" bestFit="1" customWidth="1"/>
    <col min="5122" max="5122" width="16.5546875" style="75" bestFit="1" customWidth="1"/>
    <col min="5123" max="5123" width="10.33203125" style="75" bestFit="1" customWidth="1"/>
    <col min="5124" max="5124" width="10.44140625" style="75" bestFit="1" customWidth="1"/>
    <col min="5125" max="5125" width="21.33203125" style="75" bestFit="1" customWidth="1"/>
    <col min="5126" max="5127" width="11.6640625" style="75" bestFit="1" customWidth="1"/>
    <col min="5128" max="5129" width="9.33203125" style="75" bestFit="1" customWidth="1"/>
    <col min="5130" max="5130" width="12.6640625" style="75" bestFit="1" customWidth="1"/>
    <col min="5131" max="5131" width="5" style="75" bestFit="1" customWidth="1"/>
    <col min="5132" max="5132" width="5.6640625" style="75" bestFit="1" customWidth="1"/>
    <col min="5133" max="5133" width="8.6640625" style="75" bestFit="1" customWidth="1"/>
    <col min="5134" max="5134" width="6.44140625" style="75" bestFit="1" customWidth="1"/>
    <col min="5135" max="5135" width="10.44140625" style="75" bestFit="1" customWidth="1"/>
    <col min="5136" max="5136" width="15.6640625" style="75" bestFit="1" customWidth="1"/>
    <col min="5137" max="5137" width="12.6640625" style="75" bestFit="1" customWidth="1"/>
    <col min="5138" max="5138" width="17.33203125" style="75" bestFit="1" customWidth="1"/>
    <col min="5139" max="5139" width="14.6640625" style="75" bestFit="1" customWidth="1"/>
    <col min="5140" max="5140" width="10.33203125" style="75" bestFit="1" customWidth="1"/>
    <col min="5141" max="5141" width="12.44140625" style="75" customWidth="1"/>
    <col min="5142" max="5376" width="9.33203125" style="75"/>
    <col min="5377" max="5377" width="8" style="75" bestFit="1" customWidth="1"/>
    <col min="5378" max="5378" width="16.5546875" style="75" bestFit="1" customWidth="1"/>
    <col min="5379" max="5379" width="10.33203125" style="75" bestFit="1" customWidth="1"/>
    <col min="5380" max="5380" width="10.44140625" style="75" bestFit="1" customWidth="1"/>
    <col min="5381" max="5381" width="21.33203125" style="75" bestFit="1" customWidth="1"/>
    <col min="5382" max="5383" width="11.6640625" style="75" bestFit="1" customWidth="1"/>
    <col min="5384" max="5385" width="9.33203125" style="75" bestFit="1" customWidth="1"/>
    <col min="5386" max="5386" width="12.6640625" style="75" bestFit="1" customWidth="1"/>
    <col min="5387" max="5387" width="5" style="75" bestFit="1" customWidth="1"/>
    <col min="5388" max="5388" width="5.6640625" style="75" bestFit="1" customWidth="1"/>
    <col min="5389" max="5389" width="8.6640625" style="75" bestFit="1" customWidth="1"/>
    <col min="5390" max="5390" width="6.44140625" style="75" bestFit="1" customWidth="1"/>
    <col min="5391" max="5391" width="10.44140625" style="75" bestFit="1" customWidth="1"/>
    <col min="5392" max="5392" width="15.6640625" style="75" bestFit="1" customWidth="1"/>
    <col min="5393" max="5393" width="12.6640625" style="75" bestFit="1" customWidth="1"/>
    <col min="5394" max="5394" width="17.33203125" style="75" bestFit="1" customWidth="1"/>
    <col min="5395" max="5395" width="14.6640625" style="75" bestFit="1" customWidth="1"/>
    <col min="5396" max="5396" width="10.33203125" style="75" bestFit="1" customWidth="1"/>
    <col min="5397" max="5397" width="12.44140625" style="75" customWidth="1"/>
    <col min="5398" max="5632" width="9.33203125" style="75"/>
    <col min="5633" max="5633" width="8" style="75" bestFit="1" customWidth="1"/>
    <col min="5634" max="5634" width="16.5546875" style="75" bestFit="1" customWidth="1"/>
    <col min="5635" max="5635" width="10.33203125" style="75" bestFit="1" customWidth="1"/>
    <col min="5636" max="5636" width="10.44140625" style="75" bestFit="1" customWidth="1"/>
    <col min="5637" max="5637" width="21.33203125" style="75" bestFit="1" customWidth="1"/>
    <col min="5638" max="5639" width="11.6640625" style="75" bestFit="1" customWidth="1"/>
    <col min="5640" max="5641" width="9.33203125" style="75" bestFit="1" customWidth="1"/>
    <col min="5642" max="5642" width="12.6640625" style="75" bestFit="1" customWidth="1"/>
    <col min="5643" max="5643" width="5" style="75" bestFit="1" customWidth="1"/>
    <col min="5644" max="5644" width="5.6640625" style="75" bestFit="1" customWidth="1"/>
    <col min="5645" max="5645" width="8.6640625" style="75" bestFit="1" customWidth="1"/>
    <col min="5646" max="5646" width="6.44140625" style="75" bestFit="1" customWidth="1"/>
    <col min="5647" max="5647" width="10.44140625" style="75" bestFit="1" customWidth="1"/>
    <col min="5648" max="5648" width="15.6640625" style="75" bestFit="1" customWidth="1"/>
    <col min="5649" max="5649" width="12.6640625" style="75" bestFit="1" customWidth="1"/>
    <col min="5650" max="5650" width="17.33203125" style="75" bestFit="1" customWidth="1"/>
    <col min="5651" max="5651" width="14.6640625" style="75" bestFit="1" customWidth="1"/>
    <col min="5652" max="5652" width="10.33203125" style="75" bestFit="1" customWidth="1"/>
    <col min="5653" max="5653" width="12.44140625" style="75" customWidth="1"/>
    <col min="5654" max="5888" width="9.33203125" style="75"/>
    <col min="5889" max="5889" width="8" style="75" bestFit="1" customWidth="1"/>
    <col min="5890" max="5890" width="16.5546875" style="75" bestFit="1" customWidth="1"/>
    <col min="5891" max="5891" width="10.33203125" style="75" bestFit="1" customWidth="1"/>
    <col min="5892" max="5892" width="10.44140625" style="75" bestFit="1" customWidth="1"/>
    <col min="5893" max="5893" width="21.33203125" style="75" bestFit="1" customWidth="1"/>
    <col min="5894" max="5895" width="11.6640625" style="75" bestFit="1" customWidth="1"/>
    <col min="5896" max="5897" width="9.33203125" style="75" bestFit="1" customWidth="1"/>
    <col min="5898" max="5898" width="12.6640625" style="75" bestFit="1" customWidth="1"/>
    <col min="5899" max="5899" width="5" style="75" bestFit="1" customWidth="1"/>
    <col min="5900" max="5900" width="5.6640625" style="75" bestFit="1" customWidth="1"/>
    <col min="5901" max="5901" width="8.6640625" style="75" bestFit="1" customWidth="1"/>
    <col min="5902" max="5902" width="6.44140625" style="75" bestFit="1" customWidth="1"/>
    <col min="5903" max="5903" width="10.44140625" style="75" bestFit="1" customWidth="1"/>
    <col min="5904" max="5904" width="15.6640625" style="75" bestFit="1" customWidth="1"/>
    <col min="5905" max="5905" width="12.6640625" style="75" bestFit="1" customWidth="1"/>
    <col min="5906" max="5906" width="17.33203125" style="75" bestFit="1" customWidth="1"/>
    <col min="5907" max="5907" width="14.6640625" style="75" bestFit="1" customWidth="1"/>
    <col min="5908" max="5908" width="10.33203125" style="75" bestFit="1" customWidth="1"/>
    <col min="5909" max="5909" width="12.44140625" style="75" customWidth="1"/>
    <col min="5910" max="6144" width="9.33203125" style="75"/>
    <col min="6145" max="6145" width="8" style="75" bestFit="1" customWidth="1"/>
    <col min="6146" max="6146" width="16.5546875" style="75" bestFit="1" customWidth="1"/>
    <col min="6147" max="6147" width="10.33203125" style="75" bestFit="1" customWidth="1"/>
    <col min="6148" max="6148" width="10.44140625" style="75" bestFit="1" customWidth="1"/>
    <col min="6149" max="6149" width="21.33203125" style="75" bestFit="1" customWidth="1"/>
    <col min="6150" max="6151" width="11.6640625" style="75" bestFit="1" customWidth="1"/>
    <col min="6152" max="6153" width="9.33203125" style="75" bestFit="1" customWidth="1"/>
    <col min="6154" max="6154" width="12.6640625" style="75" bestFit="1" customWidth="1"/>
    <col min="6155" max="6155" width="5" style="75" bestFit="1" customWidth="1"/>
    <col min="6156" max="6156" width="5.6640625" style="75" bestFit="1" customWidth="1"/>
    <col min="6157" max="6157" width="8.6640625" style="75" bestFit="1" customWidth="1"/>
    <col min="6158" max="6158" width="6.44140625" style="75" bestFit="1" customWidth="1"/>
    <col min="6159" max="6159" width="10.44140625" style="75" bestFit="1" customWidth="1"/>
    <col min="6160" max="6160" width="15.6640625" style="75" bestFit="1" customWidth="1"/>
    <col min="6161" max="6161" width="12.6640625" style="75" bestFit="1" customWidth="1"/>
    <col min="6162" max="6162" width="17.33203125" style="75" bestFit="1" customWidth="1"/>
    <col min="6163" max="6163" width="14.6640625" style="75" bestFit="1" customWidth="1"/>
    <col min="6164" max="6164" width="10.33203125" style="75" bestFit="1" customWidth="1"/>
    <col min="6165" max="6165" width="12.44140625" style="75" customWidth="1"/>
    <col min="6166" max="6400" width="9.33203125" style="75"/>
    <col min="6401" max="6401" width="8" style="75" bestFit="1" customWidth="1"/>
    <col min="6402" max="6402" width="16.5546875" style="75" bestFit="1" customWidth="1"/>
    <col min="6403" max="6403" width="10.33203125" style="75" bestFit="1" customWidth="1"/>
    <col min="6404" max="6404" width="10.44140625" style="75" bestFit="1" customWidth="1"/>
    <col min="6405" max="6405" width="21.33203125" style="75" bestFit="1" customWidth="1"/>
    <col min="6406" max="6407" width="11.6640625" style="75" bestFit="1" customWidth="1"/>
    <col min="6408" max="6409" width="9.33203125" style="75" bestFit="1" customWidth="1"/>
    <col min="6410" max="6410" width="12.6640625" style="75" bestFit="1" customWidth="1"/>
    <col min="6411" max="6411" width="5" style="75" bestFit="1" customWidth="1"/>
    <col min="6412" max="6412" width="5.6640625" style="75" bestFit="1" customWidth="1"/>
    <col min="6413" max="6413" width="8.6640625" style="75" bestFit="1" customWidth="1"/>
    <col min="6414" max="6414" width="6.44140625" style="75" bestFit="1" customWidth="1"/>
    <col min="6415" max="6415" width="10.44140625" style="75" bestFit="1" customWidth="1"/>
    <col min="6416" max="6416" width="15.6640625" style="75" bestFit="1" customWidth="1"/>
    <col min="6417" max="6417" width="12.6640625" style="75" bestFit="1" customWidth="1"/>
    <col min="6418" max="6418" width="17.33203125" style="75" bestFit="1" customWidth="1"/>
    <col min="6419" max="6419" width="14.6640625" style="75" bestFit="1" customWidth="1"/>
    <col min="6420" max="6420" width="10.33203125" style="75" bestFit="1" customWidth="1"/>
    <col min="6421" max="6421" width="12.44140625" style="75" customWidth="1"/>
    <col min="6422" max="6656" width="9.33203125" style="75"/>
    <col min="6657" max="6657" width="8" style="75" bestFit="1" customWidth="1"/>
    <col min="6658" max="6658" width="16.5546875" style="75" bestFit="1" customWidth="1"/>
    <col min="6659" max="6659" width="10.33203125" style="75" bestFit="1" customWidth="1"/>
    <col min="6660" max="6660" width="10.44140625" style="75" bestFit="1" customWidth="1"/>
    <col min="6661" max="6661" width="21.33203125" style="75" bestFit="1" customWidth="1"/>
    <col min="6662" max="6663" width="11.6640625" style="75" bestFit="1" customWidth="1"/>
    <col min="6664" max="6665" width="9.33203125" style="75" bestFit="1" customWidth="1"/>
    <col min="6666" max="6666" width="12.6640625" style="75" bestFit="1" customWidth="1"/>
    <col min="6667" max="6667" width="5" style="75" bestFit="1" customWidth="1"/>
    <col min="6668" max="6668" width="5.6640625" style="75" bestFit="1" customWidth="1"/>
    <col min="6669" max="6669" width="8.6640625" style="75" bestFit="1" customWidth="1"/>
    <col min="6670" max="6670" width="6.44140625" style="75" bestFit="1" customWidth="1"/>
    <col min="6671" max="6671" width="10.44140625" style="75" bestFit="1" customWidth="1"/>
    <col min="6672" max="6672" width="15.6640625" style="75" bestFit="1" customWidth="1"/>
    <col min="6673" max="6673" width="12.6640625" style="75" bestFit="1" customWidth="1"/>
    <col min="6674" max="6674" width="17.33203125" style="75" bestFit="1" customWidth="1"/>
    <col min="6675" max="6675" width="14.6640625" style="75" bestFit="1" customWidth="1"/>
    <col min="6676" max="6676" width="10.33203125" style="75" bestFit="1" customWidth="1"/>
    <col min="6677" max="6677" width="12.44140625" style="75" customWidth="1"/>
    <col min="6678" max="6912" width="9.33203125" style="75"/>
    <col min="6913" max="6913" width="8" style="75" bestFit="1" customWidth="1"/>
    <col min="6914" max="6914" width="16.5546875" style="75" bestFit="1" customWidth="1"/>
    <col min="6915" max="6915" width="10.33203125" style="75" bestFit="1" customWidth="1"/>
    <col min="6916" max="6916" width="10.44140625" style="75" bestFit="1" customWidth="1"/>
    <col min="6917" max="6917" width="21.33203125" style="75" bestFit="1" customWidth="1"/>
    <col min="6918" max="6919" width="11.6640625" style="75" bestFit="1" customWidth="1"/>
    <col min="6920" max="6921" width="9.33203125" style="75" bestFit="1" customWidth="1"/>
    <col min="6922" max="6922" width="12.6640625" style="75" bestFit="1" customWidth="1"/>
    <col min="6923" max="6923" width="5" style="75" bestFit="1" customWidth="1"/>
    <col min="6924" max="6924" width="5.6640625" style="75" bestFit="1" customWidth="1"/>
    <col min="6925" max="6925" width="8.6640625" style="75" bestFit="1" customWidth="1"/>
    <col min="6926" max="6926" width="6.44140625" style="75" bestFit="1" customWidth="1"/>
    <col min="6927" max="6927" width="10.44140625" style="75" bestFit="1" customWidth="1"/>
    <col min="6928" max="6928" width="15.6640625" style="75" bestFit="1" customWidth="1"/>
    <col min="6929" max="6929" width="12.6640625" style="75" bestFit="1" customWidth="1"/>
    <col min="6930" max="6930" width="17.33203125" style="75" bestFit="1" customWidth="1"/>
    <col min="6931" max="6931" width="14.6640625" style="75" bestFit="1" customWidth="1"/>
    <col min="6932" max="6932" width="10.33203125" style="75" bestFit="1" customWidth="1"/>
    <col min="6933" max="6933" width="12.44140625" style="75" customWidth="1"/>
    <col min="6934" max="7168" width="9.33203125" style="75"/>
    <col min="7169" max="7169" width="8" style="75" bestFit="1" customWidth="1"/>
    <col min="7170" max="7170" width="16.5546875" style="75" bestFit="1" customWidth="1"/>
    <col min="7171" max="7171" width="10.33203125" style="75" bestFit="1" customWidth="1"/>
    <col min="7172" max="7172" width="10.44140625" style="75" bestFit="1" customWidth="1"/>
    <col min="7173" max="7173" width="21.33203125" style="75" bestFit="1" customWidth="1"/>
    <col min="7174" max="7175" width="11.6640625" style="75" bestFit="1" customWidth="1"/>
    <col min="7176" max="7177" width="9.33203125" style="75" bestFit="1" customWidth="1"/>
    <col min="7178" max="7178" width="12.6640625" style="75" bestFit="1" customWidth="1"/>
    <col min="7179" max="7179" width="5" style="75" bestFit="1" customWidth="1"/>
    <col min="7180" max="7180" width="5.6640625" style="75" bestFit="1" customWidth="1"/>
    <col min="7181" max="7181" width="8.6640625" style="75" bestFit="1" customWidth="1"/>
    <col min="7182" max="7182" width="6.44140625" style="75" bestFit="1" customWidth="1"/>
    <col min="7183" max="7183" width="10.44140625" style="75" bestFit="1" customWidth="1"/>
    <col min="7184" max="7184" width="15.6640625" style="75" bestFit="1" customWidth="1"/>
    <col min="7185" max="7185" width="12.6640625" style="75" bestFit="1" customWidth="1"/>
    <col min="7186" max="7186" width="17.33203125" style="75" bestFit="1" customWidth="1"/>
    <col min="7187" max="7187" width="14.6640625" style="75" bestFit="1" customWidth="1"/>
    <col min="7188" max="7188" width="10.33203125" style="75" bestFit="1" customWidth="1"/>
    <col min="7189" max="7189" width="12.44140625" style="75" customWidth="1"/>
    <col min="7190" max="7424" width="9.33203125" style="75"/>
    <col min="7425" max="7425" width="8" style="75" bestFit="1" customWidth="1"/>
    <col min="7426" max="7426" width="16.5546875" style="75" bestFit="1" customWidth="1"/>
    <col min="7427" max="7427" width="10.33203125" style="75" bestFit="1" customWidth="1"/>
    <col min="7428" max="7428" width="10.44140625" style="75" bestFit="1" customWidth="1"/>
    <col min="7429" max="7429" width="21.33203125" style="75" bestFit="1" customWidth="1"/>
    <col min="7430" max="7431" width="11.6640625" style="75" bestFit="1" customWidth="1"/>
    <col min="7432" max="7433" width="9.33203125" style="75" bestFit="1" customWidth="1"/>
    <col min="7434" max="7434" width="12.6640625" style="75" bestFit="1" customWidth="1"/>
    <col min="7435" max="7435" width="5" style="75" bestFit="1" customWidth="1"/>
    <col min="7436" max="7436" width="5.6640625" style="75" bestFit="1" customWidth="1"/>
    <col min="7437" max="7437" width="8.6640625" style="75" bestFit="1" customWidth="1"/>
    <col min="7438" max="7438" width="6.44140625" style="75" bestFit="1" customWidth="1"/>
    <col min="7439" max="7439" width="10.44140625" style="75" bestFit="1" customWidth="1"/>
    <col min="7440" max="7440" width="15.6640625" style="75" bestFit="1" customWidth="1"/>
    <col min="7441" max="7441" width="12.6640625" style="75" bestFit="1" customWidth="1"/>
    <col min="7442" max="7442" width="17.33203125" style="75" bestFit="1" customWidth="1"/>
    <col min="7443" max="7443" width="14.6640625" style="75" bestFit="1" customWidth="1"/>
    <col min="7444" max="7444" width="10.33203125" style="75" bestFit="1" customWidth="1"/>
    <col min="7445" max="7445" width="12.44140625" style="75" customWidth="1"/>
    <col min="7446" max="7680" width="9.33203125" style="75"/>
    <col min="7681" max="7681" width="8" style="75" bestFit="1" customWidth="1"/>
    <col min="7682" max="7682" width="16.5546875" style="75" bestFit="1" customWidth="1"/>
    <col min="7683" max="7683" width="10.33203125" style="75" bestFit="1" customWidth="1"/>
    <col min="7684" max="7684" width="10.44140625" style="75" bestFit="1" customWidth="1"/>
    <col min="7685" max="7685" width="21.33203125" style="75" bestFit="1" customWidth="1"/>
    <col min="7686" max="7687" width="11.6640625" style="75" bestFit="1" customWidth="1"/>
    <col min="7688" max="7689" width="9.33203125" style="75" bestFit="1" customWidth="1"/>
    <col min="7690" max="7690" width="12.6640625" style="75" bestFit="1" customWidth="1"/>
    <col min="7691" max="7691" width="5" style="75" bestFit="1" customWidth="1"/>
    <col min="7692" max="7692" width="5.6640625" style="75" bestFit="1" customWidth="1"/>
    <col min="7693" max="7693" width="8.6640625" style="75" bestFit="1" customWidth="1"/>
    <col min="7694" max="7694" width="6.44140625" style="75" bestFit="1" customWidth="1"/>
    <col min="7695" max="7695" width="10.44140625" style="75" bestFit="1" customWidth="1"/>
    <col min="7696" max="7696" width="15.6640625" style="75" bestFit="1" customWidth="1"/>
    <col min="7697" max="7697" width="12.6640625" style="75" bestFit="1" customWidth="1"/>
    <col min="7698" max="7698" width="17.33203125" style="75" bestFit="1" customWidth="1"/>
    <col min="7699" max="7699" width="14.6640625" style="75" bestFit="1" customWidth="1"/>
    <col min="7700" max="7700" width="10.33203125" style="75" bestFit="1" customWidth="1"/>
    <col min="7701" max="7701" width="12.44140625" style="75" customWidth="1"/>
    <col min="7702" max="7936" width="9.33203125" style="75"/>
    <col min="7937" max="7937" width="8" style="75" bestFit="1" customWidth="1"/>
    <col min="7938" max="7938" width="16.5546875" style="75" bestFit="1" customWidth="1"/>
    <col min="7939" max="7939" width="10.33203125" style="75" bestFit="1" customWidth="1"/>
    <col min="7940" max="7940" width="10.44140625" style="75" bestFit="1" customWidth="1"/>
    <col min="7941" max="7941" width="21.33203125" style="75" bestFit="1" customWidth="1"/>
    <col min="7942" max="7943" width="11.6640625" style="75" bestFit="1" customWidth="1"/>
    <col min="7944" max="7945" width="9.33203125" style="75" bestFit="1" customWidth="1"/>
    <col min="7946" max="7946" width="12.6640625" style="75" bestFit="1" customWidth="1"/>
    <col min="7947" max="7947" width="5" style="75" bestFit="1" customWidth="1"/>
    <col min="7948" max="7948" width="5.6640625" style="75" bestFit="1" customWidth="1"/>
    <col min="7949" max="7949" width="8.6640625" style="75" bestFit="1" customWidth="1"/>
    <col min="7950" max="7950" width="6.44140625" style="75" bestFit="1" customWidth="1"/>
    <col min="7951" max="7951" width="10.44140625" style="75" bestFit="1" customWidth="1"/>
    <col min="7952" max="7952" width="15.6640625" style="75" bestFit="1" customWidth="1"/>
    <col min="7953" max="7953" width="12.6640625" style="75" bestFit="1" customWidth="1"/>
    <col min="7954" max="7954" width="17.33203125" style="75" bestFit="1" customWidth="1"/>
    <col min="7955" max="7955" width="14.6640625" style="75" bestFit="1" customWidth="1"/>
    <col min="7956" max="7956" width="10.33203125" style="75" bestFit="1" customWidth="1"/>
    <col min="7957" max="7957" width="12.44140625" style="75" customWidth="1"/>
    <col min="7958" max="8192" width="9.33203125" style="75"/>
    <col min="8193" max="8193" width="8" style="75" bestFit="1" customWidth="1"/>
    <col min="8194" max="8194" width="16.5546875" style="75" bestFit="1" customWidth="1"/>
    <col min="8195" max="8195" width="10.33203125" style="75" bestFit="1" customWidth="1"/>
    <col min="8196" max="8196" width="10.44140625" style="75" bestFit="1" customWidth="1"/>
    <col min="8197" max="8197" width="21.33203125" style="75" bestFit="1" customWidth="1"/>
    <col min="8198" max="8199" width="11.6640625" style="75" bestFit="1" customWidth="1"/>
    <col min="8200" max="8201" width="9.33203125" style="75" bestFit="1" customWidth="1"/>
    <col min="8202" max="8202" width="12.6640625" style="75" bestFit="1" customWidth="1"/>
    <col min="8203" max="8203" width="5" style="75" bestFit="1" customWidth="1"/>
    <col min="8204" max="8204" width="5.6640625" style="75" bestFit="1" customWidth="1"/>
    <col min="8205" max="8205" width="8.6640625" style="75" bestFit="1" customWidth="1"/>
    <col min="8206" max="8206" width="6.44140625" style="75" bestFit="1" customWidth="1"/>
    <col min="8207" max="8207" width="10.44140625" style="75" bestFit="1" customWidth="1"/>
    <col min="8208" max="8208" width="15.6640625" style="75" bestFit="1" customWidth="1"/>
    <col min="8209" max="8209" width="12.6640625" style="75" bestFit="1" customWidth="1"/>
    <col min="8210" max="8210" width="17.33203125" style="75" bestFit="1" customWidth="1"/>
    <col min="8211" max="8211" width="14.6640625" style="75" bestFit="1" customWidth="1"/>
    <col min="8212" max="8212" width="10.33203125" style="75" bestFit="1" customWidth="1"/>
    <col min="8213" max="8213" width="12.44140625" style="75" customWidth="1"/>
    <col min="8214" max="8448" width="9.33203125" style="75"/>
    <col min="8449" max="8449" width="8" style="75" bestFit="1" customWidth="1"/>
    <col min="8450" max="8450" width="16.5546875" style="75" bestFit="1" customWidth="1"/>
    <col min="8451" max="8451" width="10.33203125" style="75" bestFit="1" customWidth="1"/>
    <col min="8452" max="8452" width="10.44140625" style="75" bestFit="1" customWidth="1"/>
    <col min="8453" max="8453" width="21.33203125" style="75" bestFit="1" customWidth="1"/>
    <col min="8454" max="8455" width="11.6640625" style="75" bestFit="1" customWidth="1"/>
    <col min="8456" max="8457" width="9.33203125" style="75" bestFit="1" customWidth="1"/>
    <col min="8458" max="8458" width="12.6640625" style="75" bestFit="1" customWidth="1"/>
    <col min="8459" max="8459" width="5" style="75" bestFit="1" customWidth="1"/>
    <col min="8460" max="8460" width="5.6640625" style="75" bestFit="1" customWidth="1"/>
    <col min="8461" max="8461" width="8.6640625" style="75" bestFit="1" customWidth="1"/>
    <col min="8462" max="8462" width="6.44140625" style="75" bestFit="1" customWidth="1"/>
    <col min="8463" max="8463" width="10.44140625" style="75" bestFit="1" customWidth="1"/>
    <col min="8464" max="8464" width="15.6640625" style="75" bestFit="1" customWidth="1"/>
    <col min="8465" max="8465" width="12.6640625" style="75" bestFit="1" customWidth="1"/>
    <col min="8466" max="8466" width="17.33203125" style="75" bestFit="1" customWidth="1"/>
    <col min="8467" max="8467" width="14.6640625" style="75" bestFit="1" customWidth="1"/>
    <col min="8468" max="8468" width="10.33203125" style="75" bestFit="1" customWidth="1"/>
    <col min="8469" max="8469" width="12.44140625" style="75" customWidth="1"/>
    <col min="8470" max="8704" width="9.33203125" style="75"/>
    <col min="8705" max="8705" width="8" style="75" bestFit="1" customWidth="1"/>
    <col min="8706" max="8706" width="16.5546875" style="75" bestFit="1" customWidth="1"/>
    <col min="8707" max="8707" width="10.33203125" style="75" bestFit="1" customWidth="1"/>
    <col min="8708" max="8708" width="10.44140625" style="75" bestFit="1" customWidth="1"/>
    <col min="8709" max="8709" width="21.33203125" style="75" bestFit="1" customWidth="1"/>
    <col min="8710" max="8711" width="11.6640625" style="75" bestFit="1" customWidth="1"/>
    <col min="8712" max="8713" width="9.33203125" style="75" bestFit="1" customWidth="1"/>
    <col min="8714" max="8714" width="12.6640625" style="75" bestFit="1" customWidth="1"/>
    <col min="8715" max="8715" width="5" style="75" bestFit="1" customWidth="1"/>
    <col min="8716" max="8716" width="5.6640625" style="75" bestFit="1" customWidth="1"/>
    <col min="8717" max="8717" width="8.6640625" style="75" bestFit="1" customWidth="1"/>
    <col min="8718" max="8718" width="6.44140625" style="75" bestFit="1" customWidth="1"/>
    <col min="8719" max="8719" width="10.44140625" style="75" bestFit="1" customWidth="1"/>
    <col min="8720" max="8720" width="15.6640625" style="75" bestFit="1" customWidth="1"/>
    <col min="8721" max="8721" width="12.6640625" style="75" bestFit="1" customWidth="1"/>
    <col min="8722" max="8722" width="17.33203125" style="75" bestFit="1" customWidth="1"/>
    <col min="8723" max="8723" width="14.6640625" style="75" bestFit="1" customWidth="1"/>
    <col min="8724" max="8724" width="10.33203125" style="75" bestFit="1" customWidth="1"/>
    <col min="8725" max="8725" width="12.44140625" style="75" customWidth="1"/>
    <col min="8726" max="8960" width="9.33203125" style="75"/>
    <col min="8961" max="8961" width="8" style="75" bestFit="1" customWidth="1"/>
    <col min="8962" max="8962" width="16.5546875" style="75" bestFit="1" customWidth="1"/>
    <col min="8963" max="8963" width="10.33203125" style="75" bestFit="1" customWidth="1"/>
    <col min="8964" max="8964" width="10.44140625" style="75" bestFit="1" customWidth="1"/>
    <col min="8965" max="8965" width="21.33203125" style="75" bestFit="1" customWidth="1"/>
    <col min="8966" max="8967" width="11.6640625" style="75" bestFit="1" customWidth="1"/>
    <col min="8968" max="8969" width="9.33203125" style="75" bestFit="1" customWidth="1"/>
    <col min="8970" max="8970" width="12.6640625" style="75" bestFit="1" customWidth="1"/>
    <col min="8971" max="8971" width="5" style="75" bestFit="1" customWidth="1"/>
    <col min="8972" max="8972" width="5.6640625" style="75" bestFit="1" customWidth="1"/>
    <col min="8973" max="8973" width="8.6640625" style="75" bestFit="1" customWidth="1"/>
    <col min="8974" max="8974" width="6.44140625" style="75" bestFit="1" customWidth="1"/>
    <col min="8975" max="8975" width="10.44140625" style="75" bestFit="1" customWidth="1"/>
    <col min="8976" max="8976" width="15.6640625" style="75" bestFit="1" customWidth="1"/>
    <col min="8977" max="8977" width="12.6640625" style="75" bestFit="1" customWidth="1"/>
    <col min="8978" max="8978" width="17.33203125" style="75" bestFit="1" customWidth="1"/>
    <col min="8979" max="8979" width="14.6640625" style="75" bestFit="1" customWidth="1"/>
    <col min="8980" max="8980" width="10.33203125" style="75" bestFit="1" customWidth="1"/>
    <col min="8981" max="8981" width="12.44140625" style="75" customWidth="1"/>
    <col min="8982" max="9216" width="9.33203125" style="75"/>
    <col min="9217" max="9217" width="8" style="75" bestFit="1" customWidth="1"/>
    <col min="9218" max="9218" width="16.5546875" style="75" bestFit="1" customWidth="1"/>
    <col min="9219" max="9219" width="10.33203125" style="75" bestFit="1" customWidth="1"/>
    <col min="9220" max="9220" width="10.44140625" style="75" bestFit="1" customWidth="1"/>
    <col min="9221" max="9221" width="21.33203125" style="75" bestFit="1" customWidth="1"/>
    <col min="9222" max="9223" width="11.6640625" style="75" bestFit="1" customWidth="1"/>
    <col min="9224" max="9225" width="9.33203125" style="75" bestFit="1" customWidth="1"/>
    <col min="9226" max="9226" width="12.6640625" style="75" bestFit="1" customWidth="1"/>
    <col min="9227" max="9227" width="5" style="75" bestFit="1" customWidth="1"/>
    <col min="9228" max="9228" width="5.6640625" style="75" bestFit="1" customWidth="1"/>
    <col min="9229" max="9229" width="8.6640625" style="75" bestFit="1" customWidth="1"/>
    <col min="9230" max="9230" width="6.44140625" style="75" bestFit="1" customWidth="1"/>
    <col min="9231" max="9231" width="10.44140625" style="75" bestFit="1" customWidth="1"/>
    <col min="9232" max="9232" width="15.6640625" style="75" bestFit="1" customWidth="1"/>
    <col min="9233" max="9233" width="12.6640625" style="75" bestFit="1" customWidth="1"/>
    <col min="9234" max="9234" width="17.33203125" style="75" bestFit="1" customWidth="1"/>
    <col min="9235" max="9235" width="14.6640625" style="75" bestFit="1" customWidth="1"/>
    <col min="9236" max="9236" width="10.33203125" style="75" bestFit="1" customWidth="1"/>
    <col min="9237" max="9237" width="12.44140625" style="75" customWidth="1"/>
    <col min="9238" max="9472" width="9.33203125" style="75"/>
    <col min="9473" max="9473" width="8" style="75" bestFit="1" customWidth="1"/>
    <col min="9474" max="9474" width="16.5546875" style="75" bestFit="1" customWidth="1"/>
    <col min="9475" max="9475" width="10.33203125" style="75" bestFit="1" customWidth="1"/>
    <col min="9476" max="9476" width="10.44140625" style="75" bestFit="1" customWidth="1"/>
    <col min="9477" max="9477" width="21.33203125" style="75" bestFit="1" customWidth="1"/>
    <col min="9478" max="9479" width="11.6640625" style="75" bestFit="1" customWidth="1"/>
    <col min="9480" max="9481" width="9.33203125" style="75" bestFit="1" customWidth="1"/>
    <col min="9482" max="9482" width="12.6640625" style="75" bestFit="1" customWidth="1"/>
    <col min="9483" max="9483" width="5" style="75" bestFit="1" customWidth="1"/>
    <col min="9484" max="9484" width="5.6640625" style="75" bestFit="1" customWidth="1"/>
    <col min="9485" max="9485" width="8.6640625" style="75" bestFit="1" customWidth="1"/>
    <col min="9486" max="9486" width="6.44140625" style="75" bestFit="1" customWidth="1"/>
    <col min="9487" max="9487" width="10.44140625" style="75" bestFit="1" customWidth="1"/>
    <col min="9488" max="9488" width="15.6640625" style="75" bestFit="1" customWidth="1"/>
    <col min="9489" max="9489" width="12.6640625" style="75" bestFit="1" customWidth="1"/>
    <col min="9490" max="9490" width="17.33203125" style="75" bestFit="1" customWidth="1"/>
    <col min="9491" max="9491" width="14.6640625" style="75" bestFit="1" customWidth="1"/>
    <col min="9492" max="9492" width="10.33203125" style="75" bestFit="1" customWidth="1"/>
    <col min="9493" max="9493" width="12.44140625" style="75" customWidth="1"/>
    <col min="9494" max="9728" width="9.33203125" style="75"/>
    <col min="9729" max="9729" width="8" style="75" bestFit="1" customWidth="1"/>
    <col min="9730" max="9730" width="16.5546875" style="75" bestFit="1" customWidth="1"/>
    <col min="9731" max="9731" width="10.33203125" style="75" bestFit="1" customWidth="1"/>
    <col min="9732" max="9732" width="10.44140625" style="75" bestFit="1" customWidth="1"/>
    <col min="9733" max="9733" width="21.33203125" style="75" bestFit="1" customWidth="1"/>
    <col min="9734" max="9735" width="11.6640625" style="75" bestFit="1" customWidth="1"/>
    <col min="9736" max="9737" width="9.33203125" style="75" bestFit="1" customWidth="1"/>
    <col min="9738" max="9738" width="12.6640625" style="75" bestFit="1" customWidth="1"/>
    <col min="9739" max="9739" width="5" style="75" bestFit="1" customWidth="1"/>
    <col min="9740" max="9740" width="5.6640625" style="75" bestFit="1" customWidth="1"/>
    <col min="9741" max="9741" width="8.6640625" style="75" bestFit="1" customWidth="1"/>
    <col min="9742" max="9742" width="6.44140625" style="75" bestFit="1" customWidth="1"/>
    <col min="9743" max="9743" width="10.44140625" style="75" bestFit="1" customWidth="1"/>
    <col min="9744" max="9744" width="15.6640625" style="75" bestFit="1" customWidth="1"/>
    <col min="9745" max="9745" width="12.6640625" style="75" bestFit="1" customWidth="1"/>
    <col min="9746" max="9746" width="17.33203125" style="75" bestFit="1" customWidth="1"/>
    <col min="9747" max="9747" width="14.6640625" style="75" bestFit="1" customWidth="1"/>
    <col min="9748" max="9748" width="10.33203125" style="75" bestFit="1" customWidth="1"/>
    <col min="9749" max="9749" width="12.44140625" style="75" customWidth="1"/>
    <col min="9750" max="9984" width="9.33203125" style="75"/>
    <col min="9985" max="9985" width="8" style="75" bestFit="1" customWidth="1"/>
    <col min="9986" max="9986" width="16.5546875" style="75" bestFit="1" customWidth="1"/>
    <col min="9987" max="9987" width="10.33203125" style="75" bestFit="1" customWidth="1"/>
    <col min="9988" max="9988" width="10.44140625" style="75" bestFit="1" customWidth="1"/>
    <col min="9989" max="9989" width="21.33203125" style="75" bestFit="1" customWidth="1"/>
    <col min="9990" max="9991" width="11.6640625" style="75" bestFit="1" customWidth="1"/>
    <col min="9992" max="9993" width="9.33203125" style="75" bestFit="1" customWidth="1"/>
    <col min="9994" max="9994" width="12.6640625" style="75" bestFit="1" customWidth="1"/>
    <col min="9995" max="9995" width="5" style="75" bestFit="1" customWidth="1"/>
    <col min="9996" max="9996" width="5.6640625" style="75" bestFit="1" customWidth="1"/>
    <col min="9997" max="9997" width="8.6640625" style="75" bestFit="1" customWidth="1"/>
    <col min="9998" max="9998" width="6.44140625" style="75" bestFit="1" customWidth="1"/>
    <col min="9999" max="9999" width="10.44140625" style="75" bestFit="1" customWidth="1"/>
    <col min="10000" max="10000" width="15.6640625" style="75" bestFit="1" customWidth="1"/>
    <col min="10001" max="10001" width="12.6640625" style="75" bestFit="1" customWidth="1"/>
    <col min="10002" max="10002" width="17.33203125" style="75" bestFit="1" customWidth="1"/>
    <col min="10003" max="10003" width="14.6640625" style="75" bestFit="1" customWidth="1"/>
    <col min="10004" max="10004" width="10.33203125" style="75" bestFit="1" customWidth="1"/>
    <col min="10005" max="10005" width="12.44140625" style="75" customWidth="1"/>
    <col min="10006" max="10240" width="9.33203125" style="75"/>
    <col min="10241" max="10241" width="8" style="75" bestFit="1" customWidth="1"/>
    <col min="10242" max="10242" width="16.5546875" style="75" bestFit="1" customWidth="1"/>
    <col min="10243" max="10243" width="10.33203125" style="75" bestFit="1" customWidth="1"/>
    <col min="10244" max="10244" width="10.44140625" style="75" bestFit="1" customWidth="1"/>
    <col min="10245" max="10245" width="21.33203125" style="75" bestFit="1" customWidth="1"/>
    <col min="10246" max="10247" width="11.6640625" style="75" bestFit="1" customWidth="1"/>
    <col min="10248" max="10249" width="9.33203125" style="75" bestFit="1" customWidth="1"/>
    <col min="10250" max="10250" width="12.6640625" style="75" bestFit="1" customWidth="1"/>
    <col min="10251" max="10251" width="5" style="75" bestFit="1" customWidth="1"/>
    <col min="10252" max="10252" width="5.6640625" style="75" bestFit="1" customWidth="1"/>
    <col min="10253" max="10253" width="8.6640625" style="75" bestFit="1" customWidth="1"/>
    <col min="10254" max="10254" width="6.44140625" style="75" bestFit="1" customWidth="1"/>
    <col min="10255" max="10255" width="10.44140625" style="75" bestFit="1" customWidth="1"/>
    <col min="10256" max="10256" width="15.6640625" style="75" bestFit="1" customWidth="1"/>
    <col min="10257" max="10257" width="12.6640625" style="75" bestFit="1" customWidth="1"/>
    <col min="10258" max="10258" width="17.33203125" style="75" bestFit="1" customWidth="1"/>
    <col min="10259" max="10259" width="14.6640625" style="75" bestFit="1" customWidth="1"/>
    <col min="10260" max="10260" width="10.33203125" style="75" bestFit="1" customWidth="1"/>
    <col min="10261" max="10261" width="12.44140625" style="75" customWidth="1"/>
    <col min="10262" max="10496" width="9.33203125" style="75"/>
    <col min="10497" max="10497" width="8" style="75" bestFit="1" customWidth="1"/>
    <col min="10498" max="10498" width="16.5546875" style="75" bestFit="1" customWidth="1"/>
    <col min="10499" max="10499" width="10.33203125" style="75" bestFit="1" customWidth="1"/>
    <col min="10500" max="10500" width="10.44140625" style="75" bestFit="1" customWidth="1"/>
    <col min="10501" max="10501" width="21.33203125" style="75" bestFit="1" customWidth="1"/>
    <col min="10502" max="10503" width="11.6640625" style="75" bestFit="1" customWidth="1"/>
    <col min="10504" max="10505" width="9.33203125" style="75" bestFit="1" customWidth="1"/>
    <col min="10506" max="10506" width="12.6640625" style="75" bestFit="1" customWidth="1"/>
    <col min="10507" max="10507" width="5" style="75" bestFit="1" customWidth="1"/>
    <col min="10508" max="10508" width="5.6640625" style="75" bestFit="1" customWidth="1"/>
    <col min="10509" max="10509" width="8.6640625" style="75" bestFit="1" customWidth="1"/>
    <col min="10510" max="10510" width="6.44140625" style="75" bestFit="1" customWidth="1"/>
    <col min="10511" max="10511" width="10.44140625" style="75" bestFit="1" customWidth="1"/>
    <col min="10512" max="10512" width="15.6640625" style="75" bestFit="1" customWidth="1"/>
    <col min="10513" max="10513" width="12.6640625" style="75" bestFit="1" customWidth="1"/>
    <col min="10514" max="10514" width="17.33203125" style="75" bestFit="1" customWidth="1"/>
    <col min="10515" max="10515" width="14.6640625" style="75" bestFit="1" customWidth="1"/>
    <col min="10516" max="10516" width="10.33203125" style="75" bestFit="1" customWidth="1"/>
    <col min="10517" max="10517" width="12.44140625" style="75" customWidth="1"/>
    <col min="10518" max="10752" width="9.33203125" style="75"/>
    <col min="10753" max="10753" width="8" style="75" bestFit="1" customWidth="1"/>
    <col min="10754" max="10754" width="16.5546875" style="75" bestFit="1" customWidth="1"/>
    <col min="10755" max="10755" width="10.33203125" style="75" bestFit="1" customWidth="1"/>
    <col min="10756" max="10756" width="10.44140625" style="75" bestFit="1" customWidth="1"/>
    <col min="10757" max="10757" width="21.33203125" style="75" bestFit="1" customWidth="1"/>
    <col min="10758" max="10759" width="11.6640625" style="75" bestFit="1" customWidth="1"/>
    <col min="10760" max="10761" width="9.33203125" style="75" bestFit="1" customWidth="1"/>
    <col min="10762" max="10762" width="12.6640625" style="75" bestFit="1" customWidth="1"/>
    <col min="10763" max="10763" width="5" style="75" bestFit="1" customWidth="1"/>
    <col min="10764" max="10764" width="5.6640625" style="75" bestFit="1" customWidth="1"/>
    <col min="10765" max="10765" width="8.6640625" style="75" bestFit="1" customWidth="1"/>
    <col min="10766" max="10766" width="6.44140625" style="75" bestFit="1" customWidth="1"/>
    <col min="10767" max="10767" width="10.44140625" style="75" bestFit="1" customWidth="1"/>
    <col min="10768" max="10768" width="15.6640625" style="75" bestFit="1" customWidth="1"/>
    <col min="10769" max="10769" width="12.6640625" style="75" bestFit="1" customWidth="1"/>
    <col min="10770" max="10770" width="17.33203125" style="75" bestFit="1" customWidth="1"/>
    <col min="10771" max="10771" width="14.6640625" style="75" bestFit="1" customWidth="1"/>
    <col min="10772" max="10772" width="10.33203125" style="75" bestFit="1" customWidth="1"/>
    <col min="10773" max="10773" width="12.44140625" style="75" customWidth="1"/>
    <col min="10774" max="11008" width="9.33203125" style="75"/>
    <col min="11009" max="11009" width="8" style="75" bestFit="1" customWidth="1"/>
    <col min="11010" max="11010" width="16.5546875" style="75" bestFit="1" customWidth="1"/>
    <col min="11011" max="11011" width="10.33203125" style="75" bestFit="1" customWidth="1"/>
    <col min="11012" max="11012" width="10.44140625" style="75" bestFit="1" customWidth="1"/>
    <col min="11013" max="11013" width="21.33203125" style="75" bestFit="1" customWidth="1"/>
    <col min="11014" max="11015" width="11.6640625" style="75" bestFit="1" customWidth="1"/>
    <col min="11016" max="11017" width="9.33203125" style="75" bestFit="1" customWidth="1"/>
    <col min="11018" max="11018" width="12.6640625" style="75" bestFit="1" customWidth="1"/>
    <col min="11019" max="11019" width="5" style="75" bestFit="1" customWidth="1"/>
    <col min="11020" max="11020" width="5.6640625" style="75" bestFit="1" customWidth="1"/>
    <col min="11021" max="11021" width="8.6640625" style="75" bestFit="1" customWidth="1"/>
    <col min="11022" max="11022" width="6.44140625" style="75" bestFit="1" customWidth="1"/>
    <col min="11023" max="11023" width="10.44140625" style="75" bestFit="1" customWidth="1"/>
    <col min="11024" max="11024" width="15.6640625" style="75" bestFit="1" customWidth="1"/>
    <col min="11025" max="11025" width="12.6640625" style="75" bestFit="1" customWidth="1"/>
    <col min="11026" max="11026" width="17.33203125" style="75" bestFit="1" customWidth="1"/>
    <col min="11027" max="11027" width="14.6640625" style="75" bestFit="1" customWidth="1"/>
    <col min="11028" max="11028" width="10.33203125" style="75" bestFit="1" customWidth="1"/>
    <col min="11029" max="11029" width="12.44140625" style="75" customWidth="1"/>
    <col min="11030" max="11264" width="9.33203125" style="75"/>
    <col min="11265" max="11265" width="8" style="75" bestFit="1" customWidth="1"/>
    <col min="11266" max="11266" width="16.5546875" style="75" bestFit="1" customWidth="1"/>
    <col min="11267" max="11267" width="10.33203125" style="75" bestFit="1" customWidth="1"/>
    <col min="11268" max="11268" width="10.44140625" style="75" bestFit="1" customWidth="1"/>
    <col min="11269" max="11269" width="21.33203125" style="75" bestFit="1" customWidth="1"/>
    <col min="11270" max="11271" width="11.6640625" style="75" bestFit="1" customWidth="1"/>
    <col min="11272" max="11273" width="9.33203125" style="75" bestFit="1" customWidth="1"/>
    <col min="11274" max="11274" width="12.6640625" style="75" bestFit="1" customWidth="1"/>
    <col min="11275" max="11275" width="5" style="75" bestFit="1" customWidth="1"/>
    <col min="11276" max="11276" width="5.6640625" style="75" bestFit="1" customWidth="1"/>
    <col min="11277" max="11277" width="8.6640625" style="75" bestFit="1" customWidth="1"/>
    <col min="11278" max="11278" width="6.44140625" style="75" bestFit="1" customWidth="1"/>
    <col min="11279" max="11279" width="10.44140625" style="75" bestFit="1" customWidth="1"/>
    <col min="11280" max="11280" width="15.6640625" style="75" bestFit="1" customWidth="1"/>
    <col min="11281" max="11281" width="12.6640625" style="75" bestFit="1" customWidth="1"/>
    <col min="11282" max="11282" width="17.33203125" style="75" bestFit="1" customWidth="1"/>
    <col min="11283" max="11283" width="14.6640625" style="75" bestFit="1" customWidth="1"/>
    <col min="11284" max="11284" width="10.33203125" style="75" bestFit="1" customWidth="1"/>
    <col min="11285" max="11285" width="12.44140625" style="75" customWidth="1"/>
    <col min="11286" max="11520" width="9.33203125" style="75"/>
    <col min="11521" max="11521" width="8" style="75" bestFit="1" customWidth="1"/>
    <col min="11522" max="11522" width="16.5546875" style="75" bestFit="1" customWidth="1"/>
    <col min="11523" max="11523" width="10.33203125" style="75" bestFit="1" customWidth="1"/>
    <col min="11524" max="11524" width="10.44140625" style="75" bestFit="1" customWidth="1"/>
    <col min="11525" max="11525" width="21.33203125" style="75" bestFit="1" customWidth="1"/>
    <col min="11526" max="11527" width="11.6640625" style="75" bestFit="1" customWidth="1"/>
    <col min="11528" max="11529" width="9.33203125" style="75" bestFit="1" customWidth="1"/>
    <col min="11530" max="11530" width="12.6640625" style="75" bestFit="1" customWidth="1"/>
    <col min="11531" max="11531" width="5" style="75" bestFit="1" customWidth="1"/>
    <col min="11532" max="11532" width="5.6640625" style="75" bestFit="1" customWidth="1"/>
    <col min="11533" max="11533" width="8.6640625" style="75" bestFit="1" customWidth="1"/>
    <col min="11534" max="11534" width="6.44140625" style="75" bestFit="1" customWidth="1"/>
    <col min="11535" max="11535" width="10.44140625" style="75" bestFit="1" customWidth="1"/>
    <col min="11536" max="11536" width="15.6640625" style="75" bestFit="1" customWidth="1"/>
    <col min="11537" max="11537" width="12.6640625" style="75" bestFit="1" customWidth="1"/>
    <col min="11538" max="11538" width="17.33203125" style="75" bestFit="1" customWidth="1"/>
    <col min="11539" max="11539" width="14.6640625" style="75" bestFit="1" customWidth="1"/>
    <col min="11540" max="11540" width="10.33203125" style="75" bestFit="1" customWidth="1"/>
    <col min="11541" max="11541" width="12.44140625" style="75" customWidth="1"/>
    <col min="11542" max="11776" width="9.33203125" style="75"/>
    <col min="11777" max="11777" width="8" style="75" bestFit="1" customWidth="1"/>
    <col min="11778" max="11778" width="16.5546875" style="75" bestFit="1" customWidth="1"/>
    <col min="11779" max="11779" width="10.33203125" style="75" bestFit="1" customWidth="1"/>
    <col min="11780" max="11780" width="10.44140625" style="75" bestFit="1" customWidth="1"/>
    <col min="11781" max="11781" width="21.33203125" style="75" bestFit="1" customWidth="1"/>
    <col min="11782" max="11783" width="11.6640625" style="75" bestFit="1" customWidth="1"/>
    <col min="11784" max="11785" width="9.33203125" style="75" bestFit="1" customWidth="1"/>
    <col min="11786" max="11786" width="12.6640625" style="75" bestFit="1" customWidth="1"/>
    <col min="11787" max="11787" width="5" style="75" bestFit="1" customWidth="1"/>
    <col min="11788" max="11788" width="5.6640625" style="75" bestFit="1" customWidth="1"/>
    <col min="11789" max="11789" width="8.6640625" style="75" bestFit="1" customWidth="1"/>
    <col min="11790" max="11790" width="6.44140625" style="75" bestFit="1" customWidth="1"/>
    <col min="11791" max="11791" width="10.44140625" style="75" bestFit="1" customWidth="1"/>
    <col min="11792" max="11792" width="15.6640625" style="75" bestFit="1" customWidth="1"/>
    <col min="11793" max="11793" width="12.6640625" style="75" bestFit="1" customWidth="1"/>
    <col min="11794" max="11794" width="17.33203125" style="75" bestFit="1" customWidth="1"/>
    <col min="11795" max="11795" width="14.6640625" style="75" bestFit="1" customWidth="1"/>
    <col min="11796" max="11796" width="10.33203125" style="75" bestFit="1" customWidth="1"/>
    <col min="11797" max="11797" width="12.44140625" style="75" customWidth="1"/>
    <col min="11798" max="12032" width="9.33203125" style="75"/>
    <col min="12033" max="12033" width="8" style="75" bestFit="1" customWidth="1"/>
    <col min="12034" max="12034" width="16.5546875" style="75" bestFit="1" customWidth="1"/>
    <col min="12035" max="12035" width="10.33203125" style="75" bestFit="1" customWidth="1"/>
    <col min="12036" max="12036" width="10.44140625" style="75" bestFit="1" customWidth="1"/>
    <col min="12037" max="12037" width="21.33203125" style="75" bestFit="1" customWidth="1"/>
    <col min="12038" max="12039" width="11.6640625" style="75" bestFit="1" customWidth="1"/>
    <col min="12040" max="12041" width="9.33203125" style="75" bestFit="1" customWidth="1"/>
    <col min="12042" max="12042" width="12.6640625" style="75" bestFit="1" customWidth="1"/>
    <col min="12043" max="12043" width="5" style="75" bestFit="1" customWidth="1"/>
    <col min="12044" max="12044" width="5.6640625" style="75" bestFit="1" customWidth="1"/>
    <col min="12045" max="12045" width="8.6640625" style="75" bestFit="1" customWidth="1"/>
    <col min="12046" max="12046" width="6.44140625" style="75" bestFit="1" customWidth="1"/>
    <col min="12047" max="12047" width="10.44140625" style="75" bestFit="1" customWidth="1"/>
    <col min="12048" max="12048" width="15.6640625" style="75" bestFit="1" customWidth="1"/>
    <col min="12049" max="12049" width="12.6640625" style="75" bestFit="1" customWidth="1"/>
    <col min="12050" max="12050" width="17.33203125" style="75" bestFit="1" customWidth="1"/>
    <col min="12051" max="12051" width="14.6640625" style="75" bestFit="1" customWidth="1"/>
    <col min="12052" max="12052" width="10.33203125" style="75" bestFit="1" customWidth="1"/>
    <col min="12053" max="12053" width="12.44140625" style="75" customWidth="1"/>
    <col min="12054" max="12288" width="9.33203125" style="75"/>
    <col min="12289" max="12289" width="8" style="75" bestFit="1" customWidth="1"/>
    <col min="12290" max="12290" width="16.5546875" style="75" bestFit="1" customWidth="1"/>
    <col min="12291" max="12291" width="10.33203125" style="75" bestFit="1" customWidth="1"/>
    <col min="12292" max="12292" width="10.44140625" style="75" bestFit="1" customWidth="1"/>
    <col min="12293" max="12293" width="21.33203125" style="75" bestFit="1" customWidth="1"/>
    <col min="12294" max="12295" width="11.6640625" style="75" bestFit="1" customWidth="1"/>
    <col min="12296" max="12297" width="9.33203125" style="75" bestFit="1" customWidth="1"/>
    <col min="12298" max="12298" width="12.6640625" style="75" bestFit="1" customWidth="1"/>
    <col min="12299" max="12299" width="5" style="75" bestFit="1" customWidth="1"/>
    <col min="12300" max="12300" width="5.6640625" style="75" bestFit="1" customWidth="1"/>
    <col min="12301" max="12301" width="8.6640625" style="75" bestFit="1" customWidth="1"/>
    <col min="12302" max="12302" width="6.44140625" style="75" bestFit="1" customWidth="1"/>
    <col min="12303" max="12303" width="10.44140625" style="75" bestFit="1" customWidth="1"/>
    <col min="12304" max="12304" width="15.6640625" style="75" bestFit="1" customWidth="1"/>
    <col min="12305" max="12305" width="12.6640625" style="75" bestFit="1" customWidth="1"/>
    <col min="12306" max="12306" width="17.33203125" style="75" bestFit="1" customWidth="1"/>
    <col min="12307" max="12307" width="14.6640625" style="75" bestFit="1" customWidth="1"/>
    <col min="12308" max="12308" width="10.33203125" style="75" bestFit="1" customWidth="1"/>
    <col min="12309" max="12309" width="12.44140625" style="75" customWidth="1"/>
    <col min="12310" max="12544" width="9.33203125" style="75"/>
    <col min="12545" max="12545" width="8" style="75" bestFit="1" customWidth="1"/>
    <col min="12546" max="12546" width="16.5546875" style="75" bestFit="1" customWidth="1"/>
    <col min="12547" max="12547" width="10.33203125" style="75" bestFit="1" customWidth="1"/>
    <col min="12548" max="12548" width="10.44140625" style="75" bestFit="1" customWidth="1"/>
    <col min="12549" max="12549" width="21.33203125" style="75" bestFit="1" customWidth="1"/>
    <col min="12550" max="12551" width="11.6640625" style="75" bestFit="1" customWidth="1"/>
    <col min="12552" max="12553" width="9.33203125" style="75" bestFit="1" customWidth="1"/>
    <col min="12554" max="12554" width="12.6640625" style="75" bestFit="1" customWidth="1"/>
    <col min="12555" max="12555" width="5" style="75" bestFit="1" customWidth="1"/>
    <col min="12556" max="12556" width="5.6640625" style="75" bestFit="1" customWidth="1"/>
    <col min="12557" max="12557" width="8.6640625" style="75" bestFit="1" customWidth="1"/>
    <col min="12558" max="12558" width="6.44140625" style="75" bestFit="1" customWidth="1"/>
    <col min="12559" max="12559" width="10.44140625" style="75" bestFit="1" customWidth="1"/>
    <col min="12560" max="12560" width="15.6640625" style="75" bestFit="1" customWidth="1"/>
    <col min="12561" max="12561" width="12.6640625" style="75" bestFit="1" customWidth="1"/>
    <col min="12562" max="12562" width="17.33203125" style="75" bestFit="1" customWidth="1"/>
    <col min="12563" max="12563" width="14.6640625" style="75" bestFit="1" customWidth="1"/>
    <col min="12564" max="12564" width="10.33203125" style="75" bestFit="1" customWidth="1"/>
    <col min="12565" max="12565" width="12.44140625" style="75" customWidth="1"/>
    <col min="12566" max="12800" width="9.33203125" style="75"/>
    <col min="12801" max="12801" width="8" style="75" bestFit="1" customWidth="1"/>
    <col min="12802" max="12802" width="16.5546875" style="75" bestFit="1" customWidth="1"/>
    <col min="12803" max="12803" width="10.33203125" style="75" bestFit="1" customWidth="1"/>
    <col min="12804" max="12804" width="10.44140625" style="75" bestFit="1" customWidth="1"/>
    <col min="12805" max="12805" width="21.33203125" style="75" bestFit="1" customWidth="1"/>
    <col min="12806" max="12807" width="11.6640625" style="75" bestFit="1" customWidth="1"/>
    <col min="12808" max="12809" width="9.33203125" style="75" bestFit="1" customWidth="1"/>
    <col min="12810" max="12810" width="12.6640625" style="75" bestFit="1" customWidth="1"/>
    <col min="12811" max="12811" width="5" style="75" bestFit="1" customWidth="1"/>
    <col min="12812" max="12812" width="5.6640625" style="75" bestFit="1" customWidth="1"/>
    <col min="12813" max="12813" width="8.6640625" style="75" bestFit="1" customWidth="1"/>
    <col min="12814" max="12814" width="6.44140625" style="75" bestFit="1" customWidth="1"/>
    <col min="12815" max="12815" width="10.44140625" style="75" bestFit="1" customWidth="1"/>
    <col min="12816" max="12816" width="15.6640625" style="75" bestFit="1" customWidth="1"/>
    <col min="12817" max="12817" width="12.6640625" style="75" bestFit="1" customWidth="1"/>
    <col min="12818" max="12818" width="17.33203125" style="75" bestFit="1" customWidth="1"/>
    <col min="12819" max="12819" width="14.6640625" style="75" bestFit="1" customWidth="1"/>
    <col min="12820" max="12820" width="10.33203125" style="75" bestFit="1" customWidth="1"/>
    <col min="12821" max="12821" width="12.44140625" style="75" customWidth="1"/>
    <col min="12822" max="13056" width="9.33203125" style="75"/>
    <col min="13057" max="13057" width="8" style="75" bestFit="1" customWidth="1"/>
    <col min="13058" max="13058" width="16.5546875" style="75" bestFit="1" customWidth="1"/>
    <col min="13059" max="13059" width="10.33203125" style="75" bestFit="1" customWidth="1"/>
    <col min="13060" max="13060" width="10.44140625" style="75" bestFit="1" customWidth="1"/>
    <col min="13061" max="13061" width="21.33203125" style="75" bestFit="1" customWidth="1"/>
    <col min="13062" max="13063" width="11.6640625" style="75" bestFit="1" customWidth="1"/>
    <col min="13064" max="13065" width="9.33203125" style="75" bestFit="1" customWidth="1"/>
    <col min="13066" max="13066" width="12.6640625" style="75" bestFit="1" customWidth="1"/>
    <col min="13067" max="13067" width="5" style="75" bestFit="1" customWidth="1"/>
    <col min="13068" max="13068" width="5.6640625" style="75" bestFit="1" customWidth="1"/>
    <col min="13069" max="13069" width="8.6640625" style="75" bestFit="1" customWidth="1"/>
    <col min="13070" max="13070" width="6.44140625" style="75" bestFit="1" customWidth="1"/>
    <col min="13071" max="13071" width="10.44140625" style="75" bestFit="1" customWidth="1"/>
    <col min="13072" max="13072" width="15.6640625" style="75" bestFit="1" customWidth="1"/>
    <col min="13073" max="13073" width="12.6640625" style="75" bestFit="1" customWidth="1"/>
    <col min="13074" max="13074" width="17.33203125" style="75" bestFit="1" customWidth="1"/>
    <col min="13075" max="13075" width="14.6640625" style="75" bestFit="1" customWidth="1"/>
    <col min="13076" max="13076" width="10.33203125" style="75" bestFit="1" customWidth="1"/>
    <col min="13077" max="13077" width="12.44140625" style="75" customWidth="1"/>
    <col min="13078" max="13312" width="9.33203125" style="75"/>
    <col min="13313" max="13313" width="8" style="75" bestFit="1" customWidth="1"/>
    <col min="13314" max="13314" width="16.5546875" style="75" bestFit="1" customWidth="1"/>
    <col min="13315" max="13315" width="10.33203125" style="75" bestFit="1" customWidth="1"/>
    <col min="13316" max="13316" width="10.44140625" style="75" bestFit="1" customWidth="1"/>
    <col min="13317" max="13317" width="21.33203125" style="75" bestFit="1" customWidth="1"/>
    <col min="13318" max="13319" width="11.6640625" style="75" bestFit="1" customWidth="1"/>
    <col min="13320" max="13321" width="9.33203125" style="75" bestFit="1" customWidth="1"/>
    <col min="13322" max="13322" width="12.6640625" style="75" bestFit="1" customWidth="1"/>
    <col min="13323" max="13323" width="5" style="75" bestFit="1" customWidth="1"/>
    <col min="13324" max="13324" width="5.6640625" style="75" bestFit="1" customWidth="1"/>
    <col min="13325" max="13325" width="8.6640625" style="75" bestFit="1" customWidth="1"/>
    <col min="13326" max="13326" width="6.44140625" style="75" bestFit="1" customWidth="1"/>
    <col min="13327" max="13327" width="10.44140625" style="75" bestFit="1" customWidth="1"/>
    <col min="13328" max="13328" width="15.6640625" style="75" bestFit="1" customWidth="1"/>
    <col min="13329" max="13329" width="12.6640625" style="75" bestFit="1" customWidth="1"/>
    <col min="13330" max="13330" width="17.33203125" style="75" bestFit="1" customWidth="1"/>
    <col min="13331" max="13331" width="14.6640625" style="75" bestFit="1" customWidth="1"/>
    <col min="13332" max="13332" width="10.33203125" style="75" bestFit="1" customWidth="1"/>
    <col min="13333" max="13333" width="12.44140625" style="75" customWidth="1"/>
    <col min="13334" max="13568" width="9.33203125" style="75"/>
    <col min="13569" max="13569" width="8" style="75" bestFit="1" customWidth="1"/>
    <col min="13570" max="13570" width="16.5546875" style="75" bestFit="1" customWidth="1"/>
    <col min="13571" max="13571" width="10.33203125" style="75" bestFit="1" customWidth="1"/>
    <col min="13572" max="13572" width="10.44140625" style="75" bestFit="1" customWidth="1"/>
    <col min="13573" max="13573" width="21.33203125" style="75" bestFit="1" customWidth="1"/>
    <col min="13574" max="13575" width="11.6640625" style="75" bestFit="1" customWidth="1"/>
    <col min="13576" max="13577" width="9.33203125" style="75" bestFit="1" customWidth="1"/>
    <col min="13578" max="13578" width="12.6640625" style="75" bestFit="1" customWidth="1"/>
    <col min="13579" max="13579" width="5" style="75" bestFit="1" customWidth="1"/>
    <col min="13580" max="13580" width="5.6640625" style="75" bestFit="1" customWidth="1"/>
    <col min="13581" max="13581" width="8.6640625" style="75" bestFit="1" customWidth="1"/>
    <col min="13582" max="13582" width="6.44140625" style="75" bestFit="1" customWidth="1"/>
    <col min="13583" max="13583" width="10.44140625" style="75" bestFit="1" customWidth="1"/>
    <col min="13584" max="13584" width="15.6640625" style="75" bestFit="1" customWidth="1"/>
    <col min="13585" max="13585" width="12.6640625" style="75" bestFit="1" customWidth="1"/>
    <col min="13586" max="13586" width="17.33203125" style="75" bestFit="1" customWidth="1"/>
    <col min="13587" max="13587" width="14.6640625" style="75" bestFit="1" customWidth="1"/>
    <col min="13588" max="13588" width="10.33203125" style="75" bestFit="1" customWidth="1"/>
    <col min="13589" max="13589" width="12.44140625" style="75" customWidth="1"/>
    <col min="13590" max="13824" width="9.33203125" style="75"/>
    <col min="13825" max="13825" width="8" style="75" bestFit="1" customWidth="1"/>
    <col min="13826" max="13826" width="16.5546875" style="75" bestFit="1" customWidth="1"/>
    <col min="13827" max="13827" width="10.33203125" style="75" bestFit="1" customWidth="1"/>
    <col min="13828" max="13828" width="10.44140625" style="75" bestFit="1" customWidth="1"/>
    <col min="13829" max="13829" width="21.33203125" style="75" bestFit="1" customWidth="1"/>
    <col min="13830" max="13831" width="11.6640625" style="75" bestFit="1" customWidth="1"/>
    <col min="13832" max="13833" width="9.33203125" style="75" bestFit="1" customWidth="1"/>
    <col min="13834" max="13834" width="12.6640625" style="75" bestFit="1" customWidth="1"/>
    <col min="13835" max="13835" width="5" style="75" bestFit="1" customWidth="1"/>
    <col min="13836" max="13836" width="5.6640625" style="75" bestFit="1" customWidth="1"/>
    <col min="13837" max="13837" width="8.6640625" style="75" bestFit="1" customWidth="1"/>
    <col min="13838" max="13838" width="6.44140625" style="75" bestFit="1" customWidth="1"/>
    <col min="13839" max="13839" width="10.44140625" style="75" bestFit="1" customWidth="1"/>
    <col min="13840" max="13840" width="15.6640625" style="75" bestFit="1" customWidth="1"/>
    <col min="13841" max="13841" width="12.6640625" style="75" bestFit="1" customWidth="1"/>
    <col min="13842" max="13842" width="17.33203125" style="75" bestFit="1" customWidth="1"/>
    <col min="13843" max="13843" width="14.6640625" style="75" bestFit="1" customWidth="1"/>
    <col min="13844" max="13844" width="10.33203125" style="75" bestFit="1" customWidth="1"/>
    <col min="13845" max="13845" width="12.44140625" style="75" customWidth="1"/>
    <col min="13846" max="14080" width="9.33203125" style="75"/>
    <col min="14081" max="14081" width="8" style="75" bestFit="1" customWidth="1"/>
    <col min="14082" max="14082" width="16.5546875" style="75" bestFit="1" customWidth="1"/>
    <col min="14083" max="14083" width="10.33203125" style="75" bestFit="1" customWidth="1"/>
    <col min="14084" max="14084" width="10.44140625" style="75" bestFit="1" customWidth="1"/>
    <col min="14085" max="14085" width="21.33203125" style="75" bestFit="1" customWidth="1"/>
    <col min="14086" max="14087" width="11.6640625" style="75" bestFit="1" customWidth="1"/>
    <col min="14088" max="14089" width="9.33203125" style="75" bestFit="1" customWidth="1"/>
    <col min="14090" max="14090" width="12.6640625" style="75" bestFit="1" customWidth="1"/>
    <col min="14091" max="14091" width="5" style="75" bestFit="1" customWidth="1"/>
    <col min="14092" max="14092" width="5.6640625" style="75" bestFit="1" customWidth="1"/>
    <col min="14093" max="14093" width="8.6640625" style="75" bestFit="1" customWidth="1"/>
    <col min="14094" max="14094" width="6.44140625" style="75" bestFit="1" customWidth="1"/>
    <col min="14095" max="14095" width="10.44140625" style="75" bestFit="1" customWidth="1"/>
    <col min="14096" max="14096" width="15.6640625" style="75" bestFit="1" customWidth="1"/>
    <col min="14097" max="14097" width="12.6640625" style="75" bestFit="1" customWidth="1"/>
    <col min="14098" max="14098" width="17.33203125" style="75" bestFit="1" customWidth="1"/>
    <col min="14099" max="14099" width="14.6640625" style="75" bestFit="1" customWidth="1"/>
    <col min="14100" max="14100" width="10.33203125" style="75" bestFit="1" customWidth="1"/>
    <col min="14101" max="14101" width="12.44140625" style="75" customWidth="1"/>
    <col min="14102" max="14336" width="9.33203125" style="75"/>
    <col min="14337" max="14337" width="8" style="75" bestFit="1" customWidth="1"/>
    <col min="14338" max="14338" width="16.5546875" style="75" bestFit="1" customWidth="1"/>
    <col min="14339" max="14339" width="10.33203125" style="75" bestFit="1" customWidth="1"/>
    <col min="14340" max="14340" width="10.44140625" style="75" bestFit="1" customWidth="1"/>
    <col min="14341" max="14341" width="21.33203125" style="75" bestFit="1" customWidth="1"/>
    <col min="14342" max="14343" width="11.6640625" style="75" bestFit="1" customWidth="1"/>
    <col min="14344" max="14345" width="9.33203125" style="75" bestFit="1" customWidth="1"/>
    <col min="14346" max="14346" width="12.6640625" style="75" bestFit="1" customWidth="1"/>
    <col min="14347" max="14347" width="5" style="75" bestFit="1" customWidth="1"/>
    <col min="14348" max="14348" width="5.6640625" style="75" bestFit="1" customWidth="1"/>
    <col min="14349" max="14349" width="8.6640625" style="75" bestFit="1" customWidth="1"/>
    <col min="14350" max="14350" width="6.44140625" style="75" bestFit="1" customWidth="1"/>
    <col min="14351" max="14351" width="10.44140625" style="75" bestFit="1" customWidth="1"/>
    <col min="14352" max="14352" width="15.6640625" style="75" bestFit="1" customWidth="1"/>
    <col min="14353" max="14353" width="12.6640625" style="75" bestFit="1" customWidth="1"/>
    <col min="14354" max="14354" width="17.33203125" style="75" bestFit="1" customWidth="1"/>
    <col min="14355" max="14355" width="14.6640625" style="75" bestFit="1" customWidth="1"/>
    <col min="14356" max="14356" width="10.33203125" style="75" bestFit="1" customWidth="1"/>
    <col min="14357" max="14357" width="12.44140625" style="75" customWidth="1"/>
    <col min="14358" max="14592" width="9.33203125" style="75"/>
    <col min="14593" max="14593" width="8" style="75" bestFit="1" customWidth="1"/>
    <col min="14594" max="14594" width="16.5546875" style="75" bestFit="1" customWidth="1"/>
    <col min="14595" max="14595" width="10.33203125" style="75" bestFit="1" customWidth="1"/>
    <col min="14596" max="14596" width="10.44140625" style="75" bestFit="1" customWidth="1"/>
    <col min="14597" max="14597" width="21.33203125" style="75" bestFit="1" customWidth="1"/>
    <col min="14598" max="14599" width="11.6640625" style="75" bestFit="1" customWidth="1"/>
    <col min="14600" max="14601" width="9.33203125" style="75" bestFit="1" customWidth="1"/>
    <col min="14602" max="14602" width="12.6640625" style="75" bestFit="1" customWidth="1"/>
    <col min="14603" max="14603" width="5" style="75" bestFit="1" customWidth="1"/>
    <col min="14604" max="14604" width="5.6640625" style="75" bestFit="1" customWidth="1"/>
    <col min="14605" max="14605" width="8.6640625" style="75" bestFit="1" customWidth="1"/>
    <col min="14606" max="14606" width="6.44140625" style="75" bestFit="1" customWidth="1"/>
    <col min="14607" max="14607" width="10.44140625" style="75" bestFit="1" customWidth="1"/>
    <col min="14608" max="14608" width="15.6640625" style="75" bestFit="1" customWidth="1"/>
    <col min="14609" max="14609" width="12.6640625" style="75" bestFit="1" customWidth="1"/>
    <col min="14610" max="14610" width="17.33203125" style="75" bestFit="1" customWidth="1"/>
    <col min="14611" max="14611" width="14.6640625" style="75" bestFit="1" customWidth="1"/>
    <col min="14612" max="14612" width="10.33203125" style="75" bestFit="1" customWidth="1"/>
    <col min="14613" max="14613" width="12.44140625" style="75" customWidth="1"/>
    <col min="14614" max="14848" width="9.33203125" style="75"/>
    <col min="14849" max="14849" width="8" style="75" bestFit="1" customWidth="1"/>
    <col min="14850" max="14850" width="16.5546875" style="75" bestFit="1" customWidth="1"/>
    <col min="14851" max="14851" width="10.33203125" style="75" bestFit="1" customWidth="1"/>
    <col min="14852" max="14852" width="10.44140625" style="75" bestFit="1" customWidth="1"/>
    <col min="14853" max="14853" width="21.33203125" style="75" bestFit="1" customWidth="1"/>
    <col min="14854" max="14855" width="11.6640625" style="75" bestFit="1" customWidth="1"/>
    <col min="14856" max="14857" width="9.33203125" style="75" bestFit="1" customWidth="1"/>
    <col min="14858" max="14858" width="12.6640625" style="75" bestFit="1" customWidth="1"/>
    <col min="14859" max="14859" width="5" style="75" bestFit="1" customWidth="1"/>
    <col min="14860" max="14860" width="5.6640625" style="75" bestFit="1" customWidth="1"/>
    <col min="14861" max="14861" width="8.6640625" style="75" bestFit="1" customWidth="1"/>
    <col min="14862" max="14862" width="6.44140625" style="75" bestFit="1" customWidth="1"/>
    <col min="14863" max="14863" width="10.44140625" style="75" bestFit="1" customWidth="1"/>
    <col min="14864" max="14864" width="15.6640625" style="75" bestFit="1" customWidth="1"/>
    <col min="14865" max="14865" width="12.6640625" style="75" bestFit="1" customWidth="1"/>
    <col min="14866" max="14866" width="17.33203125" style="75" bestFit="1" customWidth="1"/>
    <col min="14867" max="14867" width="14.6640625" style="75" bestFit="1" customWidth="1"/>
    <col min="14868" max="14868" width="10.33203125" style="75" bestFit="1" customWidth="1"/>
    <col min="14869" max="14869" width="12.44140625" style="75" customWidth="1"/>
    <col min="14870" max="15104" width="9.33203125" style="75"/>
    <col min="15105" max="15105" width="8" style="75" bestFit="1" customWidth="1"/>
    <col min="15106" max="15106" width="16.5546875" style="75" bestFit="1" customWidth="1"/>
    <col min="15107" max="15107" width="10.33203125" style="75" bestFit="1" customWidth="1"/>
    <col min="15108" max="15108" width="10.44140625" style="75" bestFit="1" customWidth="1"/>
    <col min="15109" max="15109" width="21.33203125" style="75" bestFit="1" customWidth="1"/>
    <col min="15110" max="15111" width="11.6640625" style="75" bestFit="1" customWidth="1"/>
    <col min="15112" max="15113" width="9.33203125" style="75" bestFit="1" customWidth="1"/>
    <col min="15114" max="15114" width="12.6640625" style="75" bestFit="1" customWidth="1"/>
    <col min="15115" max="15115" width="5" style="75" bestFit="1" customWidth="1"/>
    <col min="15116" max="15116" width="5.6640625" style="75" bestFit="1" customWidth="1"/>
    <col min="15117" max="15117" width="8.6640625" style="75" bestFit="1" customWidth="1"/>
    <col min="15118" max="15118" width="6.44140625" style="75" bestFit="1" customWidth="1"/>
    <col min="15119" max="15119" width="10.44140625" style="75" bestFit="1" customWidth="1"/>
    <col min="15120" max="15120" width="15.6640625" style="75" bestFit="1" customWidth="1"/>
    <col min="15121" max="15121" width="12.6640625" style="75" bestFit="1" customWidth="1"/>
    <col min="15122" max="15122" width="17.33203125" style="75" bestFit="1" customWidth="1"/>
    <col min="15123" max="15123" width="14.6640625" style="75" bestFit="1" customWidth="1"/>
    <col min="15124" max="15124" width="10.33203125" style="75" bestFit="1" customWidth="1"/>
    <col min="15125" max="15125" width="12.44140625" style="75" customWidth="1"/>
    <col min="15126" max="15360" width="9.33203125" style="75"/>
    <col min="15361" max="15361" width="8" style="75" bestFit="1" customWidth="1"/>
    <col min="15362" max="15362" width="16.5546875" style="75" bestFit="1" customWidth="1"/>
    <col min="15363" max="15363" width="10.33203125" style="75" bestFit="1" customWidth="1"/>
    <col min="15364" max="15364" width="10.44140625" style="75" bestFit="1" customWidth="1"/>
    <col min="15365" max="15365" width="21.33203125" style="75" bestFit="1" customWidth="1"/>
    <col min="15366" max="15367" width="11.6640625" style="75" bestFit="1" customWidth="1"/>
    <col min="15368" max="15369" width="9.33203125" style="75" bestFit="1" customWidth="1"/>
    <col min="15370" max="15370" width="12.6640625" style="75" bestFit="1" customWidth="1"/>
    <col min="15371" max="15371" width="5" style="75" bestFit="1" customWidth="1"/>
    <col min="15372" max="15372" width="5.6640625" style="75" bestFit="1" customWidth="1"/>
    <col min="15373" max="15373" width="8.6640625" style="75" bestFit="1" customWidth="1"/>
    <col min="15374" max="15374" width="6.44140625" style="75" bestFit="1" customWidth="1"/>
    <col min="15375" max="15375" width="10.44140625" style="75" bestFit="1" customWidth="1"/>
    <col min="15376" max="15376" width="15.6640625" style="75" bestFit="1" customWidth="1"/>
    <col min="15377" max="15377" width="12.6640625" style="75" bestFit="1" customWidth="1"/>
    <col min="15378" max="15378" width="17.33203125" style="75" bestFit="1" customWidth="1"/>
    <col min="15379" max="15379" width="14.6640625" style="75" bestFit="1" customWidth="1"/>
    <col min="15380" max="15380" width="10.33203125" style="75" bestFit="1" customWidth="1"/>
    <col min="15381" max="15381" width="12.44140625" style="75" customWidth="1"/>
    <col min="15382" max="15616" width="9.33203125" style="75"/>
    <col min="15617" max="15617" width="8" style="75" bestFit="1" customWidth="1"/>
    <col min="15618" max="15618" width="16.5546875" style="75" bestFit="1" customWidth="1"/>
    <col min="15619" max="15619" width="10.33203125" style="75" bestFit="1" customWidth="1"/>
    <col min="15620" max="15620" width="10.44140625" style="75" bestFit="1" customWidth="1"/>
    <col min="15621" max="15621" width="21.33203125" style="75" bestFit="1" customWidth="1"/>
    <col min="15622" max="15623" width="11.6640625" style="75" bestFit="1" customWidth="1"/>
    <col min="15624" max="15625" width="9.33203125" style="75" bestFit="1" customWidth="1"/>
    <col min="15626" max="15626" width="12.6640625" style="75" bestFit="1" customWidth="1"/>
    <col min="15627" max="15627" width="5" style="75" bestFit="1" customWidth="1"/>
    <col min="15628" max="15628" width="5.6640625" style="75" bestFit="1" customWidth="1"/>
    <col min="15629" max="15629" width="8.6640625" style="75" bestFit="1" customWidth="1"/>
    <col min="15630" max="15630" width="6.44140625" style="75" bestFit="1" customWidth="1"/>
    <col min="15631" max="15631" width="10.44140625" style="75" bestFit="1" customWidth="1"/>
    <col min="15632" max="15632" width="15.6640625" style="75" bestFit="1" customWidth="1"/>
    <col min="15633" max="15633" width="12.6640625" style="75" bestFit="1" customWidth="1"/>
    <col min="15634" max="15634" width="17.33203125" style="75" bestFit="1" customWidth="1"/>
    <col min="15635" max="15635" width="14.6640625" style="75" bestFit="1" customWidth="1"/>
    <col min="15636" max="15636" width="10.33203125" style="75" bestFit="1" customWidth="1"/>
    <col min="15637" max="15637" width="12.44140625" style="75" customWidth="1"/>
    <col min="15638" max="15872" width="9.33203125" style="75"/>
    <col min="15873" max="15873" width="8" style="75" bestFit="1" customWidth="1"/>
    <col min="15874" max="15874" width="16.5546875" style="75" bestFit="1" customWidth="1"/>
    <col min="15875" max="15875" width="10.33203125" style="75" bestFit="1" customWidth="1"/>
    <col min="15876" max="15876" width="10.44140625" style="75" bestFit="1" customWidth="1"/>
    <col min="15877" max="15877" width="21.33203125" style="75" bestFit="1" customWidth="1"/>
    <col min="15878" max="15879" width="11.6640625" style="75" bestFit="1" customWidth="1"/>
    <col min="15880" max="15881" width="9.33203125" style="75" bestFit="1" customWidth="1"/>
    <col min="15882" max="15882" width="12.6640625" style="75" bestFit="1" customWidth="1"/>
    <col min="15883" max="15883" width="5" style="75" bestFit="1" customWidth="1"/>
    <col min="15884" max="15884" width="5.6640625" style="75" bestFit="1" customWidth="1"/>
    <col min="15885" max="15885" width="8.6640625" style="75" bestFit="1" customWidth="1"/>
    <col min="15886" max="15886" width="6.44140625" style="75" bestFit="1" customWidth="1"/>
    <col min="15887" max="15887" width="10.44140625" style="75" bestFit="1" customWidth="1"/>
    <col min="15888" max="15888" width="15.6640625" style="75" bestFit="1" customWidth="1"/>
    <col min="15889" max="15889" width="12.6640625" style="75" bestFit="1" customWidth="1"/>
    <col min="15890" max="15890" width="17.33203125" style="75" bestFit="1" customWidth="1"/>
    <col min="15891" max="15891" width="14.6640625" style="75" bestFit="1" customWidth="1"/>
    <col min="15892" max="15892" width="10.33203125" style="75" bestFit="1" customWidth="1"/>
    <col min="15893" max="15893" width="12.44140625" style="75" customWidth="1"/>
    <col min="15894" max="16128" width="9.33203125" style="75"/>
    <col min="16129" max="16129" width="8" style="75" bestFit="1" customWidth="1"/>
    <col min="16130" max="16130" width="16.5546875" style="75" bestFit="1" customWidth="1"/>
    <col min="16131" max="16131" width="10.33203125" style="75" bestFit="1" customWidth="1"/>
    <col min="16132" max="16132" width="10.44140625" style="75" bestFit="1" customWidth="1"/>
    <col min="16133" max="16133" width="21.33203125" style="75" bestFit="1" customWidth="1"/>
    <col min="16134" max="16135" width="11.6640625" style="75" bestFit="1" customWidth="1"/>
    <col min="16136" max="16137" width="9.33203125" style="75" bestFit="1" customWidth="1"/>
    <col min="16138" max="16138" width="12.6640625" style="75" bestFit="1" customWidth="1"/>
    <col min="16139" max="16139" width="5" style="75" bestFit="1" customWidth="1"/>
    <col min="16140" max="16140" width="5.6640625" style="75" bestFit="1" customWidth="1"/>
    <col min="16141" max="16141" width="8.6640625" style="75" bestFit="1" customWidth="1"/>
    <col min="16142" max="16142" width="6.44140625" style="75" bestFit="1" customWidth="1"/>
    <col min="16143" max="16143" width="10.44140625" style="75" bestFit="1" customWidth="1"/>
    <col min="16144" max="16144" width="15.6640625" style="75" bestFit="1" customWidth="1"/>
    <col min="16145" max="16145" width="12.6640625" style="75" bestFit="1" customWidth="1"/>
    <col min="16146" max="16146" width="17.33203125" style="75" bestFit="1" customWidth="1"/>
    <col min="16147" max="16147" width="14.6640625" style="75" bestFit="1" customWidth="1"/>
    <col min="16148" max="16148" width="10.33203125" style="75" bestFit="1" customWidth="1"/>
    <col min="16149" max="16149" width="12.44140625" style="75" customWidth="1"/>
    <col min="16150" max="16384" width="9.33203125" style="75"/>
  </cols>
  <sheetData>
    <row r="1" spans="1:22" x14ac:dyDescent="0.25">
      <c r="A1" s="286" t="s">
        <v>417</v>
      </c>
      <c r="B1" s="287" t="s">
        <v>418</v>
      </c>
      <c r="C1" s="288" t="s">
        <v>419</v>
      </c>
      <c r="D1" s="288" t="s">
        <v>420</v>
      </c>
      <c r="E1" s="287" t="s">
        <v>421</v>
      </c>
      <c r="F1" s="287" t="s">
        <v>422</v>
      </c>
      <c r="G1" s="287" t="s">
        <v>423</v>
      </c>
      <c r="H1" s="287" t="s">
        <v>424</v>
      </c>
      <c r="I1" s="287" t="s">
        <v>425</v>
      </c>
      <c r="J1" s="287" t="s">
        <v>426</v>
      </c>
      <c r="K1" s="287" t="s">
        <v>427</v>
      </c>
      <c r="L1" s="286" t="s">
        <v>428</v>
      </c>
      <c r="M1" s="286" t="s">
        <v>429</v>
      </c>
      <c r="N1" s="286" t="s">
        <v>430</v>
      </c>
      <c r="O1" s="287" t="s">
        <v>431</v>
      </c>
      <c r="P1" s="286" t="s">
        <v>432</v>
      </c>
      <c r="Q1" s="286" t="s">
        <v>433</v>
      </c>
      <c r="R1" s="286" t="s">
        <v>434</v>
      </c>
      <c r="S1" s="286" t="s">
        <v>435</v>
      </c>
      <c r="T1" s="286" t="s">
        <v>436</v>
      </c>
      <c r="U1" s="286" t="s">
        <v>135</v>
      </c>
      <c r="V1" s="289"/>
    </row>
    <row r="2" spans="1:22" s="61" customFormat="1" hidden="1" x14ac:dyDescent="0.25">
      <c r="A2" s="62">
        <v>1686088</v>
      </c>
      <c r="B2" s="61" t="s">
        <v>437</v>
      </c>
      <c r="C2" s="63">
        <v>44938.403263888889</v>
      </c>
      <c r="D2" s="63">
        <v>44938</v>
      </c>
      <c r="E2" s="61" t="s">
        <v>438</v>
      </c>
      <c r="F2" s="61" t="s">
        <v>439</v>
      </c>
      <c r="G2" s="61" t="s">
        <v>440</v>
      </c>
      <c r="H2" s="61" t="s">
        <v>441</v>
      </c>
      <c r="I2" s="61" t="s">
        <v>442</v>
      </c>
      <c r="J2" s="61" t="s">
        <v>443</v>
      </c>
      <c r="K2" s="61" t="s">
        <v>443</v>
      </c>
      <c r="L2" s="64">
        <v>0</v>
      </c>
      <c r="M2" s="64">
        <v>0</v>
      </c>
      <c r="N2" s="64">
        <v>28.164999999999999</v>
      </c>
      <c r="O2" s="61" t="s">
        <v>444</v>
      </c>
      <c r="P2" s="64">
        <v>0</v>
      </c>
      <c r="Q2" s="65">
        <v>0</v>
      </c>
      <c r="R2" s="65">
        <v>0</v>
      </c>
      <c r="S2" s="65">
        <v>0</v>
      </c>
      <c r="T2" s="65">
        <v>0</v>
      </c>
      <c r="U2" s="65">
        <v>0</v>
      </c>
    </row>
    <row r="3" spans="1:22" x14ac:dyDescent="0.25">
      <c r="A3" s="290">
        <v>1682311</v>
      </c>
      <c r="B3" s="289" t="s">
        <v>445</v>
      </c>
      <c r="C3" s="291">
        <v>44928</v>
      </c>
      <c r="D3" s="291">
        <v>44931</v>
      </c>
      <c r="E3" s="289" t="s">
        <v>446</v>
      </c>
      <c r="F3" s="289" t="s">
        <v>447</v>
      </c>
      <c r="G3" s="289" t="s">
        <v>448</v>
      </c>
      <c r="H3" s="289" t="s">
        <v>441</v>
      </c>
      <c r="I3" s="289" t="s">
        <v>442</v>
      </c>
      <c r="J3" s="289" t="s">
        <v>443</v>
      </c>
      <c r="K3" s="289" t="s">
        <v>443</v>
      </c>
      <c r="L3" s="292">
        <v>0</v>
      </c>
      <c r="M3" s="292">
        <v>29.632000000000001</v>
      </c>
      <c r="N3" s="292">
        <v>38.462000000000003</v>
      </c>
      <c r="O3" s="289" t="s">
        <v>444</v>
      </c>
      <c r="P3" s="292">
        <v>6</v>
      </c>
      <c r="Q3" s="293">
        <v>501.95</v>
      </c>
      <c r="R3" s="293">
        <v>17.350000000000001</v>
      </c>
      <c r="S3" s="293">
        <v>0</v>
      </c>
      <c r="T3" s="293">
        <v>0</v>
      </c>
      <c r="U3" s="293">
        <v>519.29999999999995</v>
      </c>
      <c r="V3" s="289"/>
    </row>
    <row r="4" spans="1:22" x14ac:dyDescent="0.25">
      <c r="A4" s="290">
        <v>1678752</v>
      </c>
      <c r="B4" s="289" t="s">
        <v>449</v>
      </c>
      <c r="C4" s="291">
        <v>44914</v>
      </c>
      <c r="D4" s="291">
        <v>44916</v>
      </c>
      <c r="E4" s="289" t="s">
        <v>450</v>
      </c>
      <c r="F4" s="289" t="s">
        <v>451</v>
      </c>
      <c r="G4" s="289" t="s">
        <v>448</v>
      </c>
      <c r="H4" s="289" t="s">
        <v>441</v>
      </c>
      <c r="I4" s="289" t="s">
        <v>442</v>
      </c>
      <c r="J4" s="289" t="s">
        <v>443</v>
      </c>
      <c r="K4" s="289" t="s">
        <v>443</v>
      </c>
      <c r="L4" s="292">
        <v>0</v>
      </c>
      <c r="M4" s="292">
        <v>29.632000000000001</v>
      </c>
      <c r="N4" s="292">
        <v>38.462000000000003</v>
      </c>
      <c r="O4" s="289" t="s">
        <v>444</v>
      </c>
      <c r="P4" s="292">
        <v>0</v>
      </c>
      <c r="Q4" s="293">
        <v>5889.22</v>
      </c>
      <c r="R4" s="293">
        <v>496.1</v>
      </c>
      <c r="S4" s="293">
        <v>0</v>
      </c>
      <c r="T4" s="293">
        <v>0</v>
      </c>
      <c r="U4" s="293">
        <v>6385.32</v>
      </c>
      <c r="V4" s="289"/>
    </row>
    <row r="5" spans="1:22" x14ac:dyDescent="0.25">
      <c r="A5" s="290">
        <v>1658915</v>
      </c>
      <c r="B5" s="289" t="s">
        <v>445</v>
      </c>
      <c r="C5" s="291">
        <v>44851</v>
      </c>
      <c r="D5" s="291">
        <v>44854</v>
      </c>
      <c r="E5" s="289" t="s">
        <v>446</v>
      </c>
      <c r="F5" s="289" t="s">
        <v>452</v>
      </c>
      <c r="G5" s="289" t="s">
        <v>448</v>
      </c>
      <c r="H5" s="289" t="s">
        <v>441</v>
      </c>
      <c r="I5" s="289" t="s">
        <v>442</v>
      </c>
      <c r="J5" s="289" t="s">
        <v>443</v>
      </c>
      <c r="K5" s="289" t="s">
        <v>443</v>
      </c>
      <c r="L5" s="292">
        <v>0</v>
      </c>
      <c r="M5" s="292">
        <v>29.632000000000001</v>
      </c>
      <c r="N5" s="292">
        <v>38.462000000000003</v>
      </c>
      <c r="O5" s="289" t="s">
        <v>444</v>
      </c>
      <c r="P5" s="292">
        <v>20</v>
      </c>
      <c r="Q5" s="293">
        <v>401.56</v>
      </c>
      <c r="R5" s="293">
        <v>13.88</v>
      </c>
      <c r="S5" s="293">
        <v>0</v>
      </c>
      <c r="T5" s="293">
        <v>0</v>
      </c>
      <c r="U5" s="293">
        <v>415.44</v>
      </c>
      <c r="V5" s="289"/>
    </row>
    <row r="6" spans="1:22" s="61" customFormat="1" hidden="1" x14ac:dyDescent="0.25">
      <c r="A6" s="62">
        <v>1656965</v>
      </c>
      <c r="B6" s="61" t="s">
        <v>445</v>
      </c>
      <c r="C6" s="63">
        <v>44844</v>
      </c>
      <c r="D6" s="63">
        <v>44847</v>
      </c>
      <c r="E6" s="61" t="s">
        <v>446</v>
      </c>
      <c r="F6" s="61" t="s">
        <v>447</v>
      </c>
      <c r="G6" s="61" t="s">
        <v>453</v>
      </c>
      <c r="H6" s="61" t="s">
        <v>441</v>
      </c>
      <c r="I6" s="61" t="s">
        <v>454</v>
      </c>
      <c r="J6" s="61" t="s">
        <v>443</v>
      </c>
      <c r="K6" s="61" t="s">
        <v>443</v>
      </c>
      <c r="L6" s="64">
        <v>0</v>
      </c>
      <c r="M6" s="64">
        <v>0</v>
      </c>
      <c r="N6" s="64">
        <v>3.4279999999999999</v>
      </c>
      <c r="O6" s="61" t="s">
        <v>444</v>
      </c>
      <c r="P6" s="64">
        <v>7</v>
      </c>
      <c r="Q6" s="65">
        <v>321.44</v>
      </c>
      <c r="R6" s="65">
        <v>24.29</v>
      </c>
      <c r="S6" s="65">
        <v>0</v>
      </c>
      <c r="T6" s="65">
        <v>0</v>
      </c>
      <c r="U6" s="65">
        <v>345.73</v>
      </c>
    </row>
    <row r="7" spans="1:22" s="61" customFormat="1" hidden="1" x14ac:dyDescent="0.25">
      <c r="A7" s="62">
        <v>1654865</v>
      </c>
      <c r="B7" s="61" t="s">
        <v>437</v>
      </c>
      <c r="C7" s="63">
        <v>44841</v>
      </c>
      <c r="D7" s="63">
        <v>44841</v>
      </c>
      <c r="E7" s="61" t="s">
        <v>455</v>
      </c>
      <c r="F7" s="61" t="s">
        <v>456</v>
      </c>
      <c r="G7" s="61" t="s">
        <v>440</v>
      </c>
      <c r="H7" s="61" t="s">
        <v>457</v>
      </c>
      <c r="I7" s="61" t="s">
        <v>442</v>
      </c>
      <c r="J7" s="61" t="s">
        <v>443</v>
      </c>
      <c r="K7" s="61" t="s">
        <v>443</v>
      </c>
      <c r="L7" s="64">
        <v>0</v>
      </c>
      <c r="M7" s="64">
        <v>0</v>
      </c>
      <c r="N7" s="64">
        <v>28.164999999999999</v>
      </c>
      <c r="O7" s="61" t="s">
        <v>444</v>
      </c>
      <c r="P7" s="64">
        <v>100</v>
      </c>
      <c r="Q7" s="65">
        <v>942.36</v>
      </c>
      <c r="R7" s="65">
        <v>532.36</v>
      </c>
      <c r="S7" s="65">
        <v>0</v>
      </c>
      <c r="T7" s="65">
        <v>0</v>
      </c>
      <c r="U7" s="65">
        <v>1474.72</v>
      </c>
    </row>
    <row r="8" spans="1:22" x14ac:dyDescent="0.25">
      <c r="A8" s="290">
        <v>1652112</v>
      </c>
      <c r="B8" s="289" t="s">
        <v>445</v>
      </c>
      <c r="C8" s="291">
        <v>44830</v>
      </c>
      <c r="D8" s="291">
        <v>44833</v>
      </c>
      <c r="E8" s="289" t="s">
        <v>446</v>
      </c>
      <c r="F8" s="289" t="s">
        <v>447</v>
      </c>
      <c r="G8" s="289" t="s">
        <v>448</v>
      </c>
      <c r="H8" s="289" t="s">
        <v>441</v>
      </c>
      <c r="I8" s="289" t="s">
        <v>442</v>
      </c>
      <c r="J8" s="289" t="s">
        <v>443</v>
      </c>
      <c r="K8" s="289" t="s">
        <v>443</v>
      </c>
      <c r="L8" s="292">
        <v>0</v>
      </c>
      <c r="M8" s="292">
        <v>29.632000000000001</v>
      </c>
      <c r="N8" s="292">
        <v>38.462000000000003</v>
      </c>
      <c r="O8" s="289" t="s">
        <v>444</v>
      </c>
      <c r="P8" s="292">
        <v>8</v>
      </c>
      <c r="Q8" s="293">
        <v>214.3</v>
      </c>
      <c r="R8" s="293">
        <v>17.350000000000001</v>
      </c>
      <c r="S8" s="293">
        <v>0</v>
      </c>
      <c r="T8" s="293">
        <v>0</v>
      </c>
      <c r="U8" s="293">
        <v>231.65</v>
      </c>
      <c r="V8" s="289"/>
    </row>
    <row r="9" spans="1:22" x14ac:dyDescent="0.25">
      <c r="A9" s="290">
        <v>1652110</v>
      </c>
      <c r="B9" s="289" t="s">
        <v>445</v>
      </c>
      <c r="C9" s="291">
        <v>44830</v>
      </c>
      <c r="D9" s="291">
        <v>44833</v>
      </c>
      <c r="E9" s="289" t="s">
        <v>446</v>
      </c>
      <c r="F9" s="289" t="s">
        <v>452</v>
      </c>
      <c r="G9" s="289" t="s">
        <v>448</v>
      </c>
      <c r="H9" s="289" t="s">
        <v>441</v>
      </c>
      <c r="I9" s="289" t="s">
        <v>442</v>
      </c>
      <c r="J9" s="289" t="s">
        <v>443</v>
      </c>
      <c r="K9" s="289" t="s">
        <v>443</v>
      </c>
      <c r="L9" s="292">
        <v>0</v>
      </c>
      <c r="M9" s="292">
        <v>29.632000000000001</v>
      </c>
      <c r="N9" s="292">
        <v>38.462000000000003</v>
      </c>
      <c r="O9" s="289" t="s">
        <v>444</v>
      </c>
      <c r="P9" s="292">
        <v>16.5</v>
      </c>
      <c r="Q9" s="293">
        <v>171.44</v>
      </c>
      <c r="R9" s="293">
        <v>13.88</v>
      </c>
      <c r="S9" s="293">
        <v>0</v>
      </c>
      <c r="T9" s="293">
        <v>0</v>
      </c>
      <c r="U9" s="293">
        <v>185.32</v>
      </c>
      <c r="V9" s="289"/>
    </row>
    <row r="10" spans="1:22" x14ac:dyDescent="0.25">
      <c r="A10" s="290">
        <v>1651806</v>
      </c>
      <c r="B10" s="289" t="s">
        <v>437</v>
      </c>
      <c r="C10" s="291">
        <v>44832</v>
      </c>
      <c r="D10" s="291">
        <v>44833</v>
      </c>
      <c r="E10" s="289" t="s">
        <v>450</v>
      </c>
      <c r="F10" s="289" t="s">
        <v>458</v>
      </c>
      <c r="G10" s="289" t="s">
        <v>448</v>
      </c>
      <c r="H10" s="289" t="s">
        <v>441</v>
      </c>
      <c r="I10" s="289" t="s">
        <v>442</v>
      </c>
      <c r="J10" s="289" t="s">
        <v>443</v>
      </c>
      <c r="K10" s="289" t="s">
        <v>443</v>
      </c>
      <c r="L10" s="292">
        <v>0</v>
      </c>
      <c r="M10" s="292">
        <v>29.632000000000001</v>
      </c>
      <c r="N10" s="292">
        <v>38.462000000000003</v>
      </c>
      <c r="O10" s="289" t="s">
        <v>444</v>
      </c>
      <c r="P10" s="292">
        <v>1.4</v>
      </c>
      <c r="Q10" s="293">
        <v>889.76</v>
      </c>
      <c r="R10" s="293">
        <v>317.79000000000002</v>
      </c>
      <c r="S10" s="293">
        <v>0</v>
      </c>
      <c r="T10" s="293">
        <v>0</v>
      </c>
      <c r="U10" s="293">
        <v>1207.55</v>
      </c>
      <c r="V10" s="289"/>
    </row>
    <row r="11" spans="1:22" x14ac:dyDescent="0.25">
      <c r="A11" s="290">
        <v>1649191</v>
      </c>
      <c r="B11" s="289" t="s">
        <v>445</v>
      </c>
      <c r="C11" s="291">
        <v>44823</v>
      </c>
      <c r="D11" s="291">
        <v>44826</v>
      </c>
      <c r="E11" s="289" t="s">
        <v>446</v>
      </c>
      <c r="F11" s="289" t="s">
        <v>447</v>
      </c>
      <c r="G11" s="289" t="s">
        <v>448</v>
      </c>
      <c r="H11" s="289" t="s">
        <v>441</v>
      </c>
      <c r="I11" s="289" t="s">
        <v>442</v>
      </c>
      <c r="J11" s="289" t="s">
        <v>443</v>
      </c>
      <c r="K11" s="289" t="s">
        <v>443</v>
      </c>
      <c r="L11" s="292">
        <v>0</v>
      </c>
      <c r="M11" s="292">
        <v>29.632000000000001</v>
      </c>
      <c r="N11" s="292">
        <v>38.462000000000003</v>
      </c>
      <c r="O11" s="289" t="s">
        <v>444</v>
      </c>
      <c r="P11" s="292">
        <v>13</v>
      </c>
      <c r="Q11" s="293">
        <v>385.74</v>
      </c>
      <c r="R11" s="293">
        <v>31.23</v>
      </c>
      <c r="S11" s="293">
        <v>0</v>
      </c>
      <c r="T11" s="293">
        <v>0</v>
      </c>
      <c r="U11" s="293">
        <v>416.97</v>
      </c>
      <c r="V11" s="289"/>
    </row>
    <row r="12" spans="1:22" x14ac:dyDescent="0.25">
      <c r="A12" s="290">
        <v>1648838</v>
      </c>
      <c r="B12" s="289" t="s">
        <v>445</v>
      </c>
      <c r="C12" s="291">
        <v>44823</v>
      </c>
      <c r="D12" s="291">
        <v>44825</v>
      </c>
      <c r="E12" s="289" t="s">
        <v>446</v>
      </c>
      <c r="F12" s="289" t="s">
        <v>447</v>
      </c>
      <c r="G12" s="289" t="s">
        <v>448</v>
      </c>
      <c r="H12" s="289" t="s">
        <v>441</v>
      </c>
      <c r="I12" s="289" t="s">
        <v>442</v>
      </c>
      <c r="J12" s="289" t="s">
        <v>443</v>
      </c>
      <c r="K12" s="289" t="s">
        <v>443</v>
      </c>
      <c r="L12" s="292">
        <v>0</v>
      </c>
      <c r="M12" s="292">
        <v>29.632000000000001</v>
      </c>
      <c r="N12" s="292">
        <v>38.462000000000003</v>
      </c>
      <c r="O12" s="289" t="s">
        <v>444</v>
      </c>
      <c r="P12" s="292">
        <v>6</v>
      </c>
      <c r="Q12" s="293">
        <v>192.87</v>
      </c>
      <c r="R12" s="293">
        <v>15.62</v>
      </c>
      <c r="S12" s="293">
        <v>0</v>
      </c>
      <c r="T12" s="293">
        <v>0</v>
      </c>
      <c r="U12" s="293">
        <v>208.49</v>
      </c>
      <c r="V12" s="289"/>
    </row>
    <row r="13" spans="1:22" x14ac:dyDescent="0.25">
      <c r="A13" s="290">
        <v>1646577</v>
      </c>
      <c r="B13" s="289" t="s">
        <v>445</v>
      </c>
      <c r="C13" s="291">
        <v>44816</v>
      </c>
      <c r="D13" s="291">
        <v>44819</v>
      </c>
      <c r="E13" s="289" t="s">
        <v>446</v>
      </c>
      <c r="F13" s="289" t="s">
        <v>447</v>
      </c>
      <c r="G13" s="289" t="s">
        <v>448</v>
      </c>
      <c r="H13" s="289" t="s">
        <v>441</v>
      </c>
      <c r="I13" s="289" t="s">
        <v>442</v>
      </c>
      <c r="J13" s="289" t="s">
        <v>443</v>
      </c>
      <c r="K13" s="289" t="s">
        <v>443</v>
      </c>
      <c r="L13" s="292">
        <v>0</v>
      </c>
      <c r="M13" s="292">
        <v>29.632000000000001</v>
      </c>
      <c r="N13" s="292">
        <v>38.462000000000003</v>
      </c>
      <c r="O13" s="289" t="s">
        <v>444</v>
      </c>
      <c r="P13" s="292">
        <v>2</v>
      </c>
      <c r="Q13" s="293">
        <v>246.99</v>
      </c>
      <c r="R13" s="293">
        <v>10.41</v>
      </c>
      <c r="S13" s="293">
        <v>0</v>
      </c>
      <c r="T13" s="293">
        <v>0</v>
      </c>
      <c r="U13" s="293">
        <v>257.39999999999998</v>
      </c>
      <c r="V13" s="289"/>
    </row>
    <row r="14" spans="1:22" s="61" customFormat="1" hidden="1" x14ac:dyDescent="0.25">
      <c r="A14" s="62">
        <v>1646576</v>
      </c>
      <c r="B14" s="61" t="s">
        <v>445</v>
      </c>
      <c r="C14" s="63">
        <v>44816</v>
      </c>
      <c r="D14" s="63">
        <v>44819</v>
      </c>
      <c r="E14" s="61" t="s">
        <v>446</v>
      </c>
      <c r="F14" s="61" t="s">
        <v>452</v>
      </c>
      <c r="G14" s="61" t="s">
        <v>440</v>
      </c>
      <c r="H14" s="61" t="s">
        <v>441</v>
      </c>
      <c r="I14" s="61" t="s">
        <v>442</v>
      </c>
      <c r="J14" s="61" t="s">
        <v>443</v>
      </c>
      <c r="K14" s="61" t="s">
        <v>443</v>
      </c>
      <c r="L14" s="64">
        <v>0</v>
      </c>
      <c r="M14" s="64">
        <v>0</v>
      </c>
      <c r="N14" s="64">
        <v>28.164999999999999</v>
      </c>
      <c r="O14" s="61" t="s">
        <v>444</v>
      </c>
      <c r="P14" s="64">
        <v>6.42</v>
      </c>
      <c r="Q14" s="65">
        <v>164.66</v>
      </c>
      <c r="R14" s="65">
        <v>6.94</v>
      </c>
      <c r="S14" s="65">
        <v>0</v>
      </c>
      <c r="T14" s="65">
        <v>0</v>
      </c>
      <c r="U14" s="65">
        <v>171.6</v>
      </c>
    </row>
    <row r="15" spans="1:22" x14ac:dyDescent="0.25">
      <c r="A15" s="290">
        <v>1640785</v>
      </c>
      <c r="B15" s="289" t="s">
        <v>445</v>
      </c>
      <c r="C15" s="291">
        <v>44802</v>
      </c>
      <c r="D15" s="291">
        <v>44804</v>
      </c>
      <c r="E15" s="289" t="s">
        <v>446</v>
      </c>
      <c r="F15" s="289" t="s">
        <v>447</v>
      </c>
      <c r="G15" s="289" t="s">
        <v>448</v>
      </c>
      <c r="H15" s="289" t="s">
        <v>441</v>
      </c>
      <c r="I15" s="289" t="s">
        <v>442</v>
      </c>
      <c r="J15" s="289" t="s">
        <v>443</v>
      </c>
      <c r="K15" s="289" t="s">
        <v>443</v>
      </c>
      <c r="L15" s="292">
        <v>0</v>
      </c>
      <c r="M15" s="292">
        <v>29.632000000000001</v>
      </c>
      <c r="N15" s="292">
        <v>38.462000000000003</v>
      </c>
      <c r="O15" s="289" t="s">
        <v>444</v>
      </c>
      <c r="P15" s="292">
        <v>7</v>
      </c>
      <c r="Q15" s="293">
        <v>370.49</v>
      </c>
      <c r="R15" s="293">
        <v>15.62</v>
      </c>
      <c r="S15" s="293">
        <v>0</v>
      </c>
      <c r="T15" s="293">
        <v>0</v>
      </c>
      <c r="U15" s="293">
        <v>386.1</v>
      </c>
      <c r="V15" s="289"/>
    </row>
    <row r="16" spans="1:22" x14ac:dyDescent="0.25">
      <c r="A16" s="290">
        <v>1634841</v>
      </c>
      <c r="B16" s="289" t="s">
        <v>437</v>
      </c>
      <c r="C16" s="291">
        <v>44785</v>
      </c>
      <c r="D16" s="291">
        <v>44788</v>
      </c>
      <c r="E16" s="289" t="s">
        <v>450</v>
      </c>
      <c r="F16" s="289" t="s">
        <v>459</v>
      </c>
      <c r="G16" s="289" t="s">
        <v>448</v>
      </c>
      <c r="H16" s="289" t="s">
        <v>441</v>
      </c>
      <c r="I16" s="289" t="s">
        <v>442</v>
      </c>
      <c r="J16" s="289" t="s">
        <v>443</v>
      </c>
      <c r="K16" s="289" t="s">
        <v>443</v>
      </c>
      <c r="L16" s="292">
        <v>0</v>
      </c>
      <c r="M16" s="292">
        <v>29.632000000000001</v>
      </c>
      <c r="N16" s="292">
        <v>38.462000000000003</v>
      </c>
      <c r="O16" s="289" t="s">
        <v>444</v>
      </c>
      <c r="P16" s="292">
        <v>3</v>
      </c>
      <c r="Q16" s="293">
        <v>955.22</v>
      </c>
      <c r="R16" s="293">
        <v>118.18</v>
      </c>
      <c r="S16" s="293">
        <v>0</v>
      </c>
      <c r="T16" s="293">
        <v>0</v>
      </c>
      <c r="U16" s="293">
        <v>1073.4000000000001</v>
      </c>
      <c r="V16" s="289"/>
    </row>
    <row r="17" spans="1:22" s="61" customFormat="1" hidden="1" x14ac:dyDescent="0.25">
      <c r="A17" s="62">
        <v>1629062</v>
      </c>
      <c r="B17" s="61" t="s">
        <v>437</v>
      </c>
      <c r="C17" s="63">
        <v>44769</v>
      </c>
      <c r="D17" s="63">
        <v>44769</v>
      </c>
      <c r="E17" s="61" t="s">
        <v>450</v>
      </c>
      <c r="F17" s="61" t="s">
        <v>459</v>
      </c>
      <c r="G17" s="61" t="s">
        <v>453</v>
      </c>
      <c r="H17" s="61" t="s">
        <v>441</v>
      </c>
      <c r="I17" s="61" t="s">
        <v>454</v>
      </c>
      <c r="J17" s="61" t="s">
        <v>443</v>
      </c>
      <c r="K17" s="61" t="s">
        <v>443</v>
      </c>
      <c r="L17" s="64">
        <v>0</v>
      </c>
      <c r="M17" s="64">
        <v>0</v>
      </c>
      <c r="N17" s="64">
        <v>3.4279999999999999</v>
      </c>
      <c r="O17" s="61" t="s">
        <v>444</v>
      </c>
      <c r="P17" s="64">
        <v>9</v>
      </c>
      <c r="Q17" s="65">
        <v>1248.8</v>
      </c>
      <c r="R17" s="65">
        <v>348.4</v>
      </c>
      <c r="S17" s="65">
        <v>0</v>
      </c>
      <c r="T17" s="65">
        <v>0</v>
      </c>
      <c r="U17" s="65">
        <v>1597.2</v>
      </c>
    </row>
    <row r="18" spans="1:22" x14ac:dyDescent="0.25">
      <c r="A18" s="290">
        <v>1628111</v>
      </c>
      <c r="B18" s="289" t="s">
        <v>437</v>
      </c>
      <c r="C18" s="291">
        <v>44768</v>
      </c>
      <c r="D18" s="291">
        <v>44768</v>
      </c>
      <c r="E18" s="289" t="s">
        <v>450</v>
      </c>
      <c r="F18" s="289" t="s">
        <v>459</v>
      </c>
      <c r="G18" s="289" t="s">
        <v>448</v>
      </c>
      <c r="H18" s="289" t="s">
        <v>441</v>
      </c>
      <c r="I18" s="289" t="s">
        <v>442</v>
      </c>
      <c r="J18" s="289" t="s">
        <v>443</v>
      </c>
      <c r="K18" s="289" t="s">
        <v>443</v>
      </c>
      <c r="L18" s="292">
        <v>0</v>
      </c>
      <c r="M18" s="292">
        <v>29.632000000000001</v>
      </c>
      <c r="N18" s="292">
        <v>38.462000000000003</v>
      </c>
      <c r="O18" s="289" t="s">
        <v>444</v>
      </c>
      <c r="P18" s="292">
        <v>18</v>
      </c>
      <c r="Q18" s="293">
        <v>1248.8</v>
      </c>
      <c r="R18" s="293">
        <v>348.4</v>
      </c>
      <c r="S18" s="293">
        <v>0</v>
      </c>
      <c r="T18" s="293">
        <v>0</v>
      </c>
      <c r="U18" s="293">
        <v>1597.2</v>
      </c>
      <c r="V18" s="289"/>
    </row>
    <row r="19" spans="1:22" x14ac:dyDescent="0.25">
      <c r="A19" s="290">
        <v>1627930</v>
      </c>
      <c r="B19" s="289" t="s">
        <v>437</v>
      </c>
      <c r="C19" s="291">
        <v>44755</v>
      </c>
      <c r="D19" s="291">
        <v>44803</v>
      </c>
      <c r="E19" s="289" t="s">
        <v>460</v>
      </c>
      <c r="F19" s="289" t="s">
        <v>461</v>
      </c>
      <c r="G19" s="289" t="s">
        <v>448</v>
      </c>
      <c r="H19" s="289" t="s">
        <v>441</v>
      </c>
      <c r="I19" s="289" t="s">
        <v>442</v>
      </c>
      <c r="J19" s="289" t="s">
        <v>443</v>
      </c>
      <c r="K19" s="289" t="s">
        <v>443</v>
      </c>
      <c r="L19" s="292">
        <v>0</v>
      </c>
      <c r="M19" s="292">
        <v>36.380000000000003</v>
      </c>
      <c r="N19" s="292">
        <v>36.39</v>
      </c>
      <c r="O19" s="289" t="s">
        <v>444</v>
      </c>
      <c r="P19" s="292">
        <v>75</v>
      </c>
      <c r="Q19" s="293">
        <v>0</v>
      </c>
      <c r="R19" s="293">
        <v>0</v>
      </c>
      <c r="S19" s="293">
        <v>0</v>
      </c>
      <c r="T19" s="293">
        <v>1723.7</v>
      </c>
      <c r="U19" s="293">
        <v>1723.7</v>
      </c>
      <c r="V19" s="289"/>
    </row>
    <row r="20" spans="1:22" x14ac:dyDescent="0.25">
      <c r="A20" s="290">
        <v>1623792</v>
      </c>
      <c r="B20" s="289" t="s">
        <v>437</v>
      </c>
      <c r="C20" s="291">
        <v>44743</v>
      </c>
      <c r="D20" s="291">
        <v>45107</v>
      </c>
      <c r="E20" s="289" t="s">
        <v>450</v>
      </c>
      <c r="F20" s="289" t="s">
        <v>462</v>
      </c>
      <c r="G20" s="289" t="s">
        <v>448</v>
      </c>
      <c r="H20" s="289" t="s">
        <v>441</v>
      </c>
      <c r="I20" s="289" t="s">
        <v>442</v>
      </c>
      <c r="J20" s="289" t="s">
        <v>443</v>
      </c>
      <c r="K20" s="289" t="s">
        <v>443</v>
      </c>
      <c r="L20" s="292">
        <v>0</v>
      </c>
      <c r="M20" s="292">
        <v>29.632000000000001</v>
      </c>
      <c r="N20" s="292">
        <v>38.462000000000003</v>
      </c>
      <c r="O20" s="289" t="s">
        <v>444</v>
      </c>
      <c r="P20" s="292">
        <v>5</v>
      </c>
      <c r="Q20" s="293">
        <v>1235.5999999999999</v>
      </c>
      <c r="R20" s="293">
        <v>388.18</v>
      </c>
      <c r="S20" s="293">
        <v>0</v>
      </c>
      <c r="T20" s="293">
        <v>0</v>
      </c>
      <c r="U20" s="293">
        <v>1623.78</v>
      </c>
      <c r="V20" s="289"/>
    </row>
    <row r="21" spans="1:22" s="61" customFormat="1" hidden="1" x14ac:dyDescent="0.25">
      <c r="A21" s="62">
        <v>1623788</v>
      </c>
      <c r="B21" s="61" t="s">
        <v>437</v>
      </c>
      <c r="C21" s="63">
        <v>44743</v>
      </c>
      <c r="D21" s="63">
        <v>45107</v>
      </c>
      <c r="E21" s="61" t="s">
        <v>450</v>
      </c>
      <c r="F21" s="61" t="s">
        <v>462</v>
      </c>
      <c r="G21" s="61" t="s">
        <v>453</v>
      </c>
      <c r="H21" s="61" t="s">
        <v>441</v>
      </c>
      <c r="I21" s="61" t="s">
        <v>454</v>
      </c>
      <c r="J21" s="61" t="s">
        <v>443</v>
      </c>
      <c r="K21" s="61" t="s">
        <v>443</v>
      </c>
      <c r="L21" s="64">
        <v>0</v>
      </c>
      <c r="M21" s="64">
        <v>0</v>
      </c>
      <c r="N21" s="64">
        <v>3.4279999999999999</v>
      </c>
      <c r="O21" s="61" t="s">
        <v>444</v>
      </c>
      <c r="P21" s="64">
        <v>2</v>
      </c>
      <c r="Q21" s="65">
        <v>1883.44</v>
      </c>
      <c r="R21" s="65">
        <v>213.12</v>
      </c>
      <c r="S21" s="65">
        <v>0</v>
      </c>
      <c r="T21" s="65">
        <v>0</v>
      </c>
      <c r="U21" s="65">
        <v>2096.56</v>
      </c>
    </row>
    <row r="22" spans="1:22" s="61" customFormat="1" hidden="1" x14ac:dyDescent="0.25">
      <c r="A22" s="62">
        <v>1623675</v>
      </c>
      <c r="B22" s="61" t="s">
        <v>437</v>
      </c>
      <c r="C22" s="63">
        <v>44743</v>
      </c>
      <c r="D22" s="63">
        <v>45107</v>
      </c>
      <c r="E22" s="61" t="s">
        <v>450</v>
      </c>
      <c r="F22" s="61" t="s">
        <v>462</v>
      </c>
      <c r="G22" s="61" t="s">
        <v>440</v>
      </c>
      <c r="H22" s="61" t="s">
        <v>441</v>
      </c>
      <c r="I22" s="61" t="s">
        <v>442</v>
      </c>
      <c r="J22" s="61" t="s">
        <v>443</v>
      </c>
      <c r="K22" s="61" t="s">
        <v>443</v>
      </c>
      <c r="L22" s="64">
        <v>0</v>
      </c>
      <c r="M22" s="64">
        <v>0</v>
      </c>
      <c r="N22" s="64">
        <v>28.164999999999999</v>
      </c>
      <c r="O22" s="61" t="s">
        <v>444</v>
      </c>
      <c r="P22" s="64">
        <v>14</v>
      </c>
      <c r="Q22" s="65">
        <v>1475.32</v>
      </c>
      <c r="R22" s="65">
        <v>194</v>
      </c>
      <c r="S22" s="65">
        <v>0</v>
      </c>
      <c r="T22" s="65">
        <v>0</v>
      </c>
      <c r="U22" s="65">
        <v>1669.32</v>
      </c>
    </row>
    <row r="23" spans="1:22" x14ac:dyDescent="0.25">
      <c r="A23" s="290">
        <v>1623371</v>
      </c>
      <c r="B23" s="289" t="s">
        <v>437</v>
      </c>
      <c r="C23" s="291">
        <v>44728</v>
      </c>
      <c r="D23" s="291">
        <v>44803</v>
      </c>
      <c r="E23" s="289" t="s">
        <v>460</v>
      </c>
      <c r="F23" s="289" t="s">
        <v>461</v>
      </c>
      <c r="G23" s="289" t="s">
        <v>448</v>
      </c>
      <c r="H23" s="289" t="s">
        <v>441</v>
      </c>
      <c r="I23" s="289" t="s">
        <v>442</v>
      </c>
      <c r="J23" s="289" t="s">
        <v>443</v>
      </c>
      <c r="K23" s="289" t="s">
        <v>443</v>
      </c>
      <c r="L23" s="292">
        <v>0</v>
      </c>
      <c r="M23" s="292">
        <v>31.27</v>
      </c>
      <c r="N23" s="292">
        <v>31.39</v>
      </c>
      <c r="O23" s="289" t="s">
        <v>444</v>
      </c>
      <c r="P23" s="292">
        <v>25</v>
      </c>
      <c r="Q23" s="293">
        <v>0</v>
      </c>
      <c r="R23" s="293">
        <v>0</v>
      </c>
      <c r="S23" s="293">
        <v>0</v>
      </c>
      <c r="T23" s="293">
        <v>2583.21</v>
      </c>
      <c r="U23" s="293">
        <v>2583.21</v>
      </c>
      <c r="V23" s="289"/>
    </row>
    <row r="24" spans="1:22" x14ac:dyDescent="0.25">
      <c r="A24" s="290">
        <v>1621374</v>
      </c>
      <c r="B24" s="289" t="s">
        <v>437</v>
      </c>
      <c r="C24" s="291">
        <v>44749</v>
      </c>
      <c r="D24" s="291">
        <v>44761</v>
      </c>
      <c r="E24" s="289" t="s">
        <v>450</v>
      </c>
      <c r="F24" s="289" t="s">
        <v>463</v>
      </c>
      <c r="G24" s="289" t="s">
        <v>448</v>
      </c>
      <c r="H24" s="289" t="s">
        <v>441</v>
      </c>
      <c r="I24" s="289" t="s">
        <v>442</v>
      </c>
      <c r="J24" s="289" t="s">
        <v>443</v>
      </c>
      <c r="K24" s="289" t="s">
        <v>443</v>
      </c>
      <c r="L24" s="292">
        <v>0</v>
      </c>
      <c r="M24" s="292">
        <v>29.632000000000001</v>
      </c>
      <c r="N24" s="292">
        <v>38.462000000000003</v>
      </c>
      <c r="O24" s="289" t="s">
        <v>444</v>
      </c>
      <c r="P24" s="292">
        <v>12</v>
      </c>
      <c r="Q24" s="293">
        <v>4973.6000000000004</v>
      </c>
      <c r="R24" s="293">
        <v>710.8</v>
      </c>
      <c r="S24" s="293">
        <v>0</v>
      </c>
      <c r="T24" s="293">
        <v>0</v>
      </c>
      <c r="U24" s="293">
        <v>5684.4</v>
      </c>
      <c r="V24" s="289"/>
    </row>
    <row r="25" spans="1:22" s="61" customFormat="1" hidden="1" x14ac:dyDescent="0.25">
      <c r="A25" s="62">
        <v>1610185</v>
      </c>
      <c r="B25" s="61" t="s">
        <v>437</v>
      </c>
      <c r="C25" s="63">
        <v>44684</v>
      </c>
      <c r="D25" s="63">
        <v>44767</v>
      </c>
      <c r="E25" s="61" t="s">
        <v>460</v>
      </c>
      <c r="F25" s="61" t="s">
        <v>461</v>
      </c>
      <c r="G25" s="61" t="s">
        <v>453</v>
      </c>
      <c r="H25" s="61" t="s">
        <v>441</v>
      </c>
      <c r="I25" s="61" t="s">
        <v>454</v>
      </c>
      <c r="J25" s="61" t="s">
        <v>443</v>
      </c>
      <c r="K25" s="61" t="s">
        <v>443</v>
      </c>
      <c r="L25" s="64">
        <v>0</v>
      </c>
      <c r="M25" s="64">
        <v>2.57</v>
      </c>
      <c r="N25" s="64">
        <v>2.58</v>
      </c>
      <c r="O25" s="61" t="s">
        <v>444</v>
      </c>
      <c r="P25" s="64">
        <v>25</v>
      </c>
      <c r="Q25" s="65">
        <v>0</v>
      </c>
      <c r="R25" s="65">
        <v>0</v>
      </c>
      <c r="S25" s="65">
        <v>0</v>
      </c>
      <c r="T25" s="65">
        <v>4721.24</v>
      </c>
      <c r="U25" s="65">
        <v>4721.24</v>
      </c>
    </row>
    <row r="26" spans="1:22" x14ac:dyDescent="0.25">
      <c r="A26" s="290">
        <v>1606829</v>
      </c>
      <c r="B26" s="289" t="s">
        <v>437</v>
      </c>
      <c r="C26" s="291">
        <v>44712</v>
      </c>
      <c r="D26" s="291">
        <v>44712</v>
      </c>
      <c r="E26" s="289" t="s">
        <v>450</v>
      </c>
      <c r="F26" s="289" t="s">
        <v>456</v>
      </c>
      <c r="G26" s="289" t="s">
        <v>448</v>
      </c>
      <c r="H26" s="289" t="s">
        <v>441</v>
      </c>
      <c r="I26" s="289" t="s">
        <v>442</v>
      </c>
      <c r="J26" s="289" t="s">
        <v>443</v>
      </c>
      <c r="K26" s="289" t="s">
        <v>443</v>
      </c>
      <c r="L26" s="292">
        <v>0</v>
      </c>
      <c r="M26" s="292">
        <v>29.632000000000001</v>
      </c>
      <c r="N26" s="292">
        <v>38.462000000000003</v>
      </c>
      <c r="O26" s="289" t="s">
        <v>444</v>
      </c>
      <c r="P26" s="292">
        <v>50</v>
      </c>
      <c r="Q26" s="293">
        <v>2512.59</v>
      </c>
      <c r="R26" s="293">
        <v>1186.6400000000001</v>
      </c>
      <c r="S26" s="293">
        <v>0</v>
      </c>
      <c r="T26" s="293">
        <v>709.2</v>
      </c>
      <c r="U26" s="293">
        <v>4408.43</v>
      </c>
      <c r="V26" s="289"/>
    </row>
    <row r="27" spans="1:22" s="61" customFormat="1" hidden="1" x14ac:dyDescent="0.25">
      <c r="A27" s="62">
        <v>1605728</v>
      </c>
      <c r="B27" s="61" t="s">
        <v>437</v>
      </c>
      <c r="C27" s="63">
        <v>44708</v>
      </c>
      <c r="D27" s="63">
        <v>44708</v>
      </c>
      <c r="E27" s="61" t="s">
        <v>450</v>
      </c>
      <c r="F27" s="61" t="s">
        <v>456</v>
      </c>
      <c r="G27" s="61" t="s">
        <v>440</v>
      </c>
      <c r="H27" s="61" t="s">
        <v>441</v>
      </c>
      <c r="I27" s="61" t="s">
        <v>442</v>
      </c>
      <c r="J27" s="61" t="s">
        <v>443</v>
      </c>
      <c r="K27" s="61" t="s">
        <v>443</v>
      </c>
      <c r="L27" s="64">
        <v>0</v>
      </c>
      <c r="M27" s="64">
        <v>0</v>
      </c>
      <c r="N27" s="64">
        <v>28.164999999999999</v>
      </c>
      <c r="O27" s="61" t="s">
        <v>444</v>
      </c>
      <c r="P27" s="64">
        <v>0.1</v>
      </c>
      <c r="Q27" s="65">
        <v>1014.96</v>
      </c>
      <c r="R27" s="65">
        <v>647.67999999999995</v>
      </c>
      <c r="S27" s="65">
        <v>0</v>
      </c>
      <c r="T27" s="65">
        <v>0</v>
      </c>
      <c r="U27" s="65">
        <v>1662.64</v>
      </c>
    </row>
    <row r="28" spans="1:22" s="61" customFormat="1" hidden="1" x14ac:dyDescent="0.25">
      <c r="A28" s="62">
        <v>1601550</v>
      </c>
      <c r="B28" s="61" t="s">
        <v>437</v>
      </c>
      <c r="C28" s="63">
        <v>44693</v>
      </c>
      <c r="D28" s="63">
        <v>44693</v>
      </c>
      <c r="E28" s="61" t="s">
        <v>450</v>
      </c>
      <c r="F28" s="61" t="s">
        <v>463</v>
      </c>
      <c r="G28" s="61" t="s">
        <v>453</v>
      </c>
      <c r="H28" s="61" t="s">
        <v>441</v>
      </c>
      <c r="I28" s="61" t="s">
        <v>454</v>
      </c>
      <c r="J28" s="61" t="s">
        <v>443</v>
      </c>
      <c r="K28" s="61" t="s">
        <v>443</v>
      </c>
      <c r="L28" s="64">
        <v>0</v>
      </c>
      <c r="M28" s="64">
        <v>0</v>
      </c>
      <c r="N28" s="64">
        <v>3.4279999999999999</v>
      </c>
      <c r="O28" s="61" t="s">
        <v>444</v>
      </c>
      <c r="P28" s="64">
        <v>1</v>
      </c>
      <c r="Q28" s="65">
        <v>532.96</v>
      </c>
      <c r="R28" s="65">
        <v>87.44</v>
      </c>
      <c r="S28" s="65">
        <v>0</v>
      </c>
      <c r="T28" s="65">
        <v>0</v>
      </c>
      <c r="U28" s="65">
        <v>620.4</v>
      </c>
    </row>
    <row r="29" spans="1:22" s="61" customFormat="1" hidden="1" x14ac:dyDescent="0.25">
      <c r="A29" s="62">
        <v>1595005</v>
      </c>
      <c r="B29" s="61" t="s">
        <v>445</v>
      </c>
      <c r="C29" s="63">
        <v>44669</v>
      </c>
      <c r="D29" s="63">
        <v>44673</v>
      </c>
      <c r="E29" s="61" t="s">
        <v>446</v>
      </c>
      <c r="F29" s="61" t="s">
        <v>452</v>
      </c>
      <c r="G29" s="61" t="s">
        <v>440</v>
      </c>
      <c r="H29" s="61" t="s">
        <v>441</v>
      </c>
      <c r="I29" s="61" t="s">
        <v>442</v>
      </c>
      <c r="J29" s="61" t="s">
        <v>443</v>
      </c>
      <c r="K29" s="61" t="s">
        <v>443</v>
      </c>
      <c r="L29" s="64">
        <v>0</v>
      </c>
      <c r="M29" s="64">
        <v>0</v>
      </c>
      <c r="N29" s="64">
        <v>28.164999999999999</v>
      </c>
      <c r="O29" s="61" t="s">
        <v>444</v>
      </c>
      <c r="P29" s="64">
        <v>10.5</v>
      </c>
      <c r="Q29" s="65">
        <v>81.84</v>
      </c>
      <c r="R29" s="65">
        <v>6.94</v>
      </c>
      <c r="S29" s="65">
        <v>0</v>
      </c>
      <c r="T29" s="65">
        <v>0</v>
      </c>
      <c r="U29" s="65">
        <v>88.78</v>
      </c>
    </row>
    <row r="30" spans="1:22" s="61" customFormat="1" hidden="1" x14ac:dyDescent="0.25">
      <c r="A30" s="62">
        <v>1595004</v>
      </c>
      <c r="B30" s="61" t="s">
        <v>445</v>
      </c>
      <c r="C30" s="63">
        <v>44669</v>
      </c>
      <c r="D30" s="63">
        <v>44673</v>
      </c>
      <c r="E30" s="61" t="s">
        <v>446</v>
      </c>
      <c r="F30" s="61" t="s">
        <v>447</v>
      </c>
      <c r="G30" s="61" t="s">
        <v>440</v>
      </c>
      <c r="H30" s="61" t="s">
        <v>441</v>
      </c>
      <c r="I30" s="61" t="s">
        <v>442</v>
      </c>
      <c r="J30" s="61" t="s">
        <v>443</v>
      </c>
      <c r="K30" s="61" t="s">
        <v>443</v>
      </c>
      <c r="L30" s="64">
        <v>0</v>
      </c>
      <c r="M30" s="64">
        <v>0</v>
      </c>
      <c r="N30" s="64">
        <v>28.164999999999999</v>
      </c>
      <c r="O30" s="61" t="s">
        <v>444</v>
      </c>
      <c r="P30" s="64">
        <v>5.67</v>
      </c>
      <c r="Q30" s="65">
        <v>81.84</v>
      </c>
      <c r="R30" s="65">
        <v>2.31</v>
      </c>
      <c r="S30" s="65">
        <v>0</v>
      </c>
      <c r="T30" s="65">
        <v>0</v>
      </c>
      <c r="U30" s="65">
        <v>84.15</v>
      </c>
    </row>
    <row r="31" spans="1:22" s="61" customFormat="1" hidden="1" x14ac:dyDescent="0.25">
      <c r="A31" s="62">
        <v>1578387</v>
      </c>
      <c r="B31" s="61" t="s">
        <v>437</v>
      </c>
      <c r="C31" s="63">
        <v>44620</v>
      </c>
      <c r="D31" s="63">
        <v>44624</v>
      </c>
      <c r="E31" s="61" t="s">
        <v>450</v>
      </c>
      <c r="F31" s="61" t="s">
        <v>464</v>
      </c>
      <c r="G31" s="61" t="s">
        <v>440</v>
      </c>
      <c r="H31" s="61" t="s">
        <v>441</v>
      </c>
      <c r="I31" s="61" t="s">
        <v>442</v>
      </c>
      <c r="J31" s="61" t="s">
        <v>443</v>
      </c>
      <c r="K31" s="61" t="s">
        <v>443</v>
      </c>
      <c r="L31" s="64">
        <v>0</v>
      </c>
      <c r="M31" s="64">
        <v>0</v>
      </c>
      <c r="N31" s="64">
        <v>28.164999999999999</v>
      </c>
      <c r="O31" s="61" t="s">
        <v>444</v>
      </c>
      <c r="P31" s="64">
        <v>42</v>
      </c>
      <c r="Q31" s="65">
        <v>7515.58</v>
      </c>
      <c r="R31" s="65">
        <v>2131.6</v>
      </c>
      <c r="S31" s="65">
        <v>0</v>
      </c>
      <c r="T31" s="65">
        <v>0</v>
      </c>
      <c r="U31" s="65">
        <v>9647.18</v>
      </c>
    </row>
    <row r="32" spans="1:22" x14ac:dyDescent="0.25">
      <c r="A32" s="290">
        <v>1570984</v>
      </c>
      <c r="B32" s="289" t="s">
        <v>445</v>
      </c>
      <c r="C32" s="291">
        <v>44599</v>
      </c>
      <c r="D32" s="291">
        <v>44602</v>
      </c>
      <c r="E32" s="289" t="s">
        <v>446</v>
      </c>
      <c r="F32" s="289" t="s">
        <v>447</v>
      </c>
      <c r="G32" s="289" t="s">
        <v>448</v>
      </c>
      <c r="H32" s="289" t="s">
        <v>441</v>
      </c>
      <c r="I32" s="289" t="s">
        <v>442</v>
      </c>
      <c r="J32" s="289" t="s">
        <v>443</v>
      </c>
      <c r="K32" s="289" t="s">
        <v>443</v>
      </c>
      <c r="L32" s="292">
        <v>0</v>
      </c>
      <c r="M32" s="292">
        <v>29.632000000000001</v>
      </c>
      <c r="N32" s="292">
        <v>38.462000000000003</v>
      </c>
      <c r="O32" s="289" t="s">
        <v>444</v>
      </c>
      <c r="P32" s="292">
        <v>4</v>
      </c>
      <c r="Q32" s="293">
        <v>174.15</v>
      </c>
      <c r="R32" s="293">
        <v>15.62</v>
      </c>
      <c r="S32" s="293">
        <v>0</v>
      </c>
      <c r="T32" s="293">
        <v>0</v>
      </c>
      <c r="U32" s="293">
        <v>189.77</v>
      </c>
      <c r="V32" s="289"/>
    </row>
    <row r="33" spans="1:22" s="61" customFormat="1" hidden="1" x14ac:dyDescent="0.25">
      <c r="A33" s="62">
        <v>1569858</v>
      </c>
      <c r="B33" s="61" t="s">
        <v>437</v>
      </c>
      <c r="C33" s="63">
        <v>44550</v>
      </c>
      <c r="D33" s="63">
        <v>44628</v>
      </c>
      <c r="E33" s="61" t="s">
        <v>460</v>
      </c>
      <c r="F33" s="61" t="s">
        <v>461</v>
      </c>
      <c r="G33" s="61" t="s">
        <v>440</v>
      </c>
      <c r="H33" s="61" t="s">
        <v>441</v>
      </c>
      <c r="I33" s="61" t="s">
        <v>442</v>
      </c>
      <c r="J33" s="61" t="s">
        <v>443</v>
      </c>
      <c r="K33" s="61" t="s">
        <v>443</v>
      </c>
      <c r="L33" s="64">
        <v>0</v>
      </c>
      <c r="M33" s="64">
        <v>27.82</v>
      </c>
      <c r="N33" s="64">
        <v>27.83</v>
      </c>
      <c r="O33" s="61" t="s">
        <v>444</v>
      </c>
      <c r="P33" s="64">
        <v>25</v>
      </c>
      <c r="Q33" s="65">
        <v>0</v>
      </c>
      <c r="R33" s="65">
        <v>0</v>
      </c>
      <c r="S33" s="65">
        <v>0</v>
      </c>
      <c r="T33" s="65">
        <v>1219.95</v>
      </c>
      <c r="U33" s="65">
        <v>1219.95</v>
      </c>
    </row>
    <row r="34" spans="1:22" x14ac:dyDescent="0.25">
      <c r="A34" s="290">
        <v>1569851</v>
      </c>
      <c r="B34" s="289" t="s">
        <v>437</v>
      </c>
      <c r="C34" s="291">
        <v>44550</v>
      </c>
      <c r="D34" s="291">
        <v>44628</v>
      </c>
      <c r="E34" s="289" t="s">
        <v>460</v>
      </c>
      <c r="F34" s="289" t="s">
        <v>461</v>
      </c>
      <c r="G34" s="289" t="s">
        <v>448</v>
      </c>
      <c r="H34" s="289" t="s">
        <v>441</v>
      </c>
      <c r="I34" s="289" t="s">
        <v>442</v>
      </c>
      <c r="J34" s="289" t="s">
        <v>443</v>
      </c>
      <c r="K34" s="289" t="s">
        <v>443</v>
      </c>
      <c r="L34" s="292">
        <v>0</v>
      </c>
      <c r="M34" s="292">
        <v>37.06</v>
      </c>
      <c r="N34" s="292">
        <v>37.07</v>
      </c>
      <c r="O34" s="289" t="s">
        <v>444</v>
      </c>
      <c r="P34" s="292">
        <v>150</v>
      </c>
      <c r="Q34" s="293">
        <v>0</v>
      </c>
      <c r="R34" s="293">
        <v>0</v>
      </c>
      <c r="S34" s="293">
        <v>0</v>
      </c>
      <c r="T34" s="293">
        <v>5676.45</v>
      </c>
      <c r="U34" s="293">
        <v>5676.45</v>
      </c>
      <c r="V34" s="289"/>
    </row>
    <row r="35" spans="1:22" x14ac:dyDescent="0.25">
      <c r="A35" s="290">
        <v>1569846</v>
      </c>
      <c r="B35" s="289" t="s">
        <v>437</v>
      </c>
      <c r="C35" s="291">
        <v>44550</v>
      </c>
      <c r="D35" s="291">
        <v>44628</v>
      </c>
      <c r="E35" s="289" t="s">
        <v>460</v>
      </c>
      <c r="F35" s="289" t="s">
        <v>461</v>
      </c>
      <c r="G35" s="289" t="s">
        <v>448</v>
      </c>
      <c r="H35" s="289" t="s">
        <v>441</v>
      </c>
      <c r="I35" s="289" t="s">
        <v>442</v>
      </c>
      <c r="J35" s="289" t="s">
        <v>443</v>
      </c>
      <c r="K35" s="289" t="s">
        <v>443</v>
      </c>
      <c r="L35" s="292">
        <v>0</v>
      </c>
      <c r="M35" s="292">
        <v>38.159999999999997</v>
      </c>
      <c r="N35" s="292">
        <v>38.17</v>
      </c>
      <c r="O35" s="289" t="s">
        <v>444</v>
      </c>
      <c r="P35" s="292">
        <v>25</v>
      </c>
      <c r="Q35" s="293">
        <v>0</v>
      </c>
      <c r="R35" s="293">
        <v>0</v>
      </c>
      <c r="S35" s="293">
        <v>0</v>
      </c>
      <c r="T35" s="293">
        <v>1219.95</v>
      </c>
      <c r="U35" s="293">
        <v>1219.95</v>
      </c>
      <c r="V35" s="289"/>
    </row>
    <row r="36" spans="1:22" s="61" customFormat="1" hidden="1" x14ac:dyDescent="0.25">
      <c r="A36" s="62">
        <v>1554646</v>
      </c>
      <c r="B36" s="61" t="s">
        <v>437</v>
      </c>
      <c r="C36" s="63">
        <v>44466</v>
      </c>
      <c r="D36" s="63">
        <v>44522</v>
      </c>
      <c r="E36" s="61" t="s">
        <v>460</v>
      </c>
      <c r="F36" s="61" t="s">
        <v>461</v>
      </c>
      <c r="G36" s="61" t="s">
        <v>440</v>
      </c>
      <c r="H36" s="61" t="s">
        <v>441</v>
      </c>
      <c r="I36" s="61" t="s">
        <v>442</v>
      </c>
      <c r="J36" s="61" t="s">
        <v>443</v>
      </c>
      <c r="K36" s="61" t="s">
        <v>443</v>
      </c>
      <c r="L36" s="64">
        <v>0</v>
      </c>
      <c r="M36" s="64">
        <v>27.78</v>
      </c>
      <c r="N36" s="64">
        <v>27.8</v>
      </c>
      <c r="O36" s="61" t="s">
        <v>444</v>
      </c>
      <c r="P36" s="64">
        <v>12.38</v>
      </c>
      <c r="Q36" s="65">
        <v>0</v>
      </c>
      <c r="R36" s="65">
        <v>0</v>
      </c>
      <c r="S36" s="65">
        <v>0</v>
      </c>
      <c r="T36" s="65">
        <v>945.42</v>
      </c>
      <c r="U36" s="65">
        <v>945.42</v>
      </c>
    </row>
    <row r="37" spans="1:22" x14ac:dyDescent="0.25">
      <c r="A37" s="290">
        <v>1546357</v>
      </c>
      <c r="B37" s="289" t="s">
        <v>445</v>
      </c>
      <c r="C37" s="291">
        <v>44480</v>
      </c>
      <c r="D37" s="291">
        <v>44483</v>
      </c>
      <c r="E37" s="289" t="s">
        <v>446</v>
      </c>
      <c r="F37" s="289" t="s">
        <v>452</v>
      </c>
      <c r="G37" s="289" t="s">
        <v>448</v>
      </c>
      <c r="H37" s="289" t="s">
        <v>441</v>
      </c>
      <c r="I37" s="289" t="s">
        <v>442</v>
      </c>
      <c r="J37" s="289" t="s">
        <v>443</v>
      </c>
      <c r="K37" s="289" t="s">
        <v>443</v>
      </c>
      <c r="L37" s="292">
        <v>0</v>
      </c>
      <c r="M37" s="292">
        <v>29.632000000000001</v>
      </c>
      <c r="N37" s="292">
        <v>38.462000000000003</v>
      </c>
      <c r="O37" s="289" t="s">
        <v>444</v>
      </c>
      <c r="P37" s="292">
        <v>5</v>
      </c>
      <c r="Q37" s="293">
        <v>116.1</v>
      </c>
      <c r="R37" s="293">
        <v>10.41</v>
      </c>
      <c r="S37" s="293">
        <v>0</v>
      </c>
      <c r="T37" s="293">
        <v>0</v>
      </c>
      <c r="U37" s="293">
        <v>126.51</v>
      </c>
      <c r="V37" s="289"/>
    </row>
    <row r="38" spans="1:22" s="61" customFormat="1" hidden="1" x14ac:dyDescent="0.25">
      <c r="A38" s="62">
        <v>1546111</v>
      </c>
      <c r="B38" s="61" t="s">
        <v>445</v>
      </c>
      <c r="C38" s="63">
        <v>44480</v>
      </c>
      <c r="D38" s="63">
        <v>44482</v>
      </c>
      <c r="E38" s="61" t="s">
        <v>446</v>
      </c>
      <c r="F38" s="61" t="s">
        <v>447</v>
      </c>
      <c r="G38" s="61" t="s">
        <v>440</v>
      </c>
      <c r="H38" s="61" t="s">
        <v>441</v>
      </c>
      <c r="I38" s="61" t="s">
        <v>442</v>
      </c>
      <c r="J38" s="61" t="s">
        <v>443</v>
      </c>
      <c r="K38" s="61" t="s">
        <v>443</v>
      </c>
      <c r="L38" s="64">
        <v>0</v>
      </c>
      <c r="M38" s="64">
        <v>0</v>
      </c>
      <c r="N38" s="64">
        <v>28.164999999999999</v>
      </c>
      <c r="O38" s="61" t="s">
        <v>444</v>
      </c>
      <c r="P38" s="64">
        <v>5</v>
      </c>
      <c r="Q38" s="65">
        <v>232.2</v>
      </c>
      <c r="R38" s="65">
        <v>20.82</v>
      </c>
      <c r="S38" s="65">
        <v>0</v>
      </c>
      <c r="T38" s="65">
        <v>0</v>
      </c>
      <c r="U38" s="65">
        <v>253.02</v>
      </c>
    </row>
    <row r="39" spans="1:22" x14ac:dyDescent="0.25">
      <c r="A39" s="290">
        <v>1544308</v>
      </c>
      <c r="B39" s="289" t="s">
        <v>445</v>
      </c>
      <c r="C39" s="291">
        <v>44473</v>
      </c>
      <c r="D39" s="291">
        <v>44475</v>
      </c>
      <c r="E39" s="289" t="s">
        <v>446</v>
      </c>
      <c r="F39" s="289" t="s">
        <v>452</v>
      </c>
      <c r="G39" s="289" t="s">
        <v>448</v>
      </c>
      <c r="H39" s="289" t="s">
        <v>441</v>
      </c>
      <c r="I39" s="289" t="s">
        <v>442</v>
      </c>
      <c r="J39" s="289" t="s">
        <v>443</v>
      </c>
      <c r="K39" s="289" t="s">
        <v>443</v>
      </c>
      <c r="L39" s="292">
        <v>0</v>
      </c>
      <c r="M39" s="292">
        <v>29.632000000000001</v>
      </c>
      <c r="N39" s="292">
        <v>38.462000000000003</v>
      </c>
      <c r="O39" s="289" t="s">
        <v>444</v>
      </c>
      <c r="P39" s="292">
        <v>5</v>
      </c>
      <c r="Q39" s="293">
        <v>77.400000000000006</v>
      </c>
      <c r="R39" s="293">
        <v>6.94</v>
      </c>
      <c r="S39" s="293">
        <v>0</v>
      </c>
      <c r="T39" s="293">
        <v>0</v>
      </c>
      <c r="U39" s="293">
        <v>84.34</v>
      </c>
      <c r="V39" s="289"/>
    </row>
    <row r="40" spans="1:22" x14ac:dyDescent="0.25">
      <c r="A40" s="290">
        <v>1544306</v>
      </c>
      <c r="B40" s="289" t="s">
        <v>445</v>
      </c>
      <c r="C40" s="291">
        <v>44473</v>
      </c>
      <c r="D40" s="291">
        <v>44475</v>
      </c>
      <c r="E40" s="289" t="s">
        <v>446</v>
      </c>
      <c r="F40" s="289" t="s">
        <v>447</v>
      </c>
      <c r="G40" s="289" t="s">
        <v>448</v>
      </c>
      <c r="H40" s="289" t="s">
        <v>441</v>
      </c>
      <c r="I40" s="289" t="s">
        <v>442</v>
      </c>
      <c r="J40" s="289" t="s">
        <v>443</v>
      </c>
      <c r="K40" s="289" t="s">
        <v>443</v>
      </c>
      <c r="L40" s="292">
        <v>0</v>
      </c>
      <c r="M40" s="292">
        <v>29.632000000000001</v>
      </c>
      <c r="N40" s="292">
        <v>38.462000000000003</v>
      </c>
      <c r="O40" s="289" t="s">
        <v>444</v>
      </c>
      <c r="P40" s="292">
        <v>2.5</v>
      </c>
      <c r="Q40" s="293">
        <v>77.400000000000006</v>
      </c>
      <c r="R40" s="293">
        <v>6.94</v>
      </c>
      <c r="S40" s="293">
        <v>0</v>
      </c>
      <c r="T40" s="293">
        <v>0</v>
      </c>
      <c r="U40" s="293">
        <v>84.34</v>
      </c>
      <c r="V40" s="289"/>
    </row>
    <row r="41" spans="1:22" x14ac:dyDescent="0.25">
      <c r="A41" s="290">
        <v>1533733</v>
      </c>
      <c r="B41" s="289" t="s">
        <v>437</v>
      </c>
      <c r="C41" s="291">
        <v>44432</v>
      </c>
      <c r="D41" s="291">
        <v>44434</v>
      </c>
      <c r="E41" s="289" t="s">
        <v>465</v>
      </c>
      <c r="F41" s="289" t="s">
        <v>456</v>
      </c>
      <c r="G41" s="289" t="s">
        <v>448</v>
      </c>
      <c r="H41" s="289" t="s">
        <v>466</v>
      </c>
      <c r="I41" s="289" t="s">
        <v>442</v>
      </c>
      <c r="J41" s="289" t="s">
        <v>443</v>
      </c>
      <c r="K41" s="289" t="s">
        <v>443</v>
      </c>
      <c r="L41" s="292">
        <v>0</v>
      </c>
      <c r="M41" s="292">
        <v>32.5</v>
      </c>
      <c r="N41" s="292">
        <v>32.6</v>
      </c>
      <c r="O41" s="289" t="s">
        <v>444</v>
      </c>
      <c r="P41" s="292">
        <v>500</v>
      </c>
      <c r="Q41" s="293">
        <v>1172.8800000000001</v>
      </c>
      <c r="R41" s="293">
        <v>1026.32</v>
      </c>
      <c r="S41" s="293">
        <v>2287.71</v>
      </c>
      <c r="T41" s="293">
        <v>129.36000000000001</v>
      </c>
      <c r="U41" s="293">
        <v>4616.2700000000004</v>
      </c>
      <c r="V41" s="289"/>
    </row>
    <row r="42" spans="1:22" s="61" customFormat="1" hidden="1" x14ac:dyDescent="0.25">
      <c r="A42" s="62">
        <v>1533653</v>
      </c>
      <c r="B42" s="61" t="s">
        <v>445</v>
      </c>
      <c r="C42" s="63">
        <v>44431</v>
      </c>
      <c r="D42" s="63">
        <v>44433</v>
      </c>
      <c r="E42" s="61" t="s">
        <v>446</v>
      </c>
      <c r="F42" s="61" t="s">
        <v>447</v>
      </c>
      <c r="G42" s="61" t="s">
        <v>453</v>
      </c>
      <c r="H42" s="61" t="s">
        <v>441</v>
      </c>
      <c r="I42" s="61" t="s">
        <v>454</v>
      </c>
      <c r="J42" s="61" t="s">
        <v>443</v>
      </c>
      <c r="K42" s="61" t="s">
        <v>443</v>
      </c>
      <c r="L42" s="64">
        <v>0</v>
      </c>
      <c r="M42" s="64">
        <v>0</v>
      </c>
      <c r="N42" s="64">
        <v>3.4279999999999999</v>
      </c>
      <c r="O42" s="61" t="s">
        <v>444</v>
      </c>
      <c r="P42" s="64">
        <v>2</v>
      </c>
      <c r="Q42" s="65">
        <v>76.78</v>
      </c>
      <c r="R42" s="65">
        <v>6.94</v>
      </c>
      <c r="S42" s="65">
        <v>0</v>
      </c>
      <c r="T42" s="65">
        <v>0</v>
      </c>
      <c r="U42" s="65">
        <v>83.72</v>
      </c>
    </row>
    <row r="43" spans="1:22" s="61" customFormat="1" hidden="1" x14ac:dyDescent="0.25">
      <c r="A43" s="62">
        <v>1530431</v>
      </c>
      <c r="B43" s="61" t="s">
        <v>445</v>
      </c>
      <c r="C43" s="63">
        <v>44417</v>
      </c>
      <c r="D43" s="63">
        <v>44421</v>
      </c>
      <c r="E43" s="61" t="s">
        <v>446</v>
      </c>
      <c r="F43" s="61" t="s">
        <v>452</v>
      </c>
      <c r="G43" s="61" t="s">
        <v>440</v>
      </c>
      <c r="H43" s="61" t="s">
        <v>441</v>
      </c>
      <c r="I43" s="61" t="s">
        <v>442</v>
      </c>
      <c r="J43" s="61" t="s">
        <v>443</v>
      </c>
      <c r="K43" s="61" t="s">
        <v>443</v>
      </c>
      <c r="L43" s="64">
        <v>0</v>
      </c>
      <c r="M43" s="64">
        <v>0</v>
      </c>
      <c r="N43" s="64">
        <v>28.164999999999999</v>
      </c>
      <c r="O43" s="61" t="s">
        <v>444</v>
      </c>
      <c r="P43" s="64">
        <v>11.25</v>
      </c>
      <c r="Q43" s="65">
        <v>65.52</v>
      </c>
      <c r="R43" s="65">
        <v>36.700000000000003</v>
      </c>
      <c r="S43" s="65">
        <v>0</v>
      </c>
      <c r="T43" s="65">
        <v>0</v>
      </c>
      <c r="U43" s="65">
        <v>102.22</v>
      </c>
    </row>
    <row r="44" spans="1:22" x14ac:dyDescent="0.25">
      <c r="A44" s="290">
        <v>1515124</v>
      </c>
      <c r="B44" s="289" t="s">
        <v>445</v>
      </c>
      <c r="C44" s="291">
        <v>44354</v>
      </c>
      <c r="D44" s="291">
        <v>44357</v>
      </c>
      <c r="E44" s="289" t="s">
        <v>446</v>
      </c>
      <c r="F44" s="289" t="s">
        <v>452</v>
      </c>
      <c r="G44" s="289" t="s">
        <v>448</v>
      </c>
      <c r="H44" s="289" t="s">
        <v>441</v>
      </c>
      <c r="I44" s="289" t="s">
        <v>442</v>
      </c>
      <c r="J44" s="289" t="s">
        <v>443</v>
      </c>
      <c r="K44" s="289" t="s">
        <v>443</v>
      </c>
      <c r="L44" s="292">
        <v>0</v>
      </c>
      <c r="M44" s="292">
        <v>29.632000000000001</v>
      </c>
      <c r="N44" s="292">
        <v>38.462000000000003</v>
      </c>
      <c r="O44" s="289" t="s">
        <v>444</v>
      </c>
      <c r="P44" s="292">
        <v>56</v>
      </c>
      <c r="Q44" s="293">
        <v>496.37</v>
      </c>
      <c r="R44" s="293">
        <v>128.44999999999999</v>
      </c>
      <c r="S44" s="293">
        <v>0</v>
      </c>
      <c r="T44" s="293">
        <v>0</v>
      </c>
      <c r="U44" s="293">
        <v>624.82000000000005</v>
      </c>
      <c r="V44" s="289"/>
    </row>
    <row r="45" spans="1:22" x14ac:dyDescent="0.25">
      <c r="A45" s="290">
        <v>1474604</v>
      </c>
      <c r="B45" s="289" t="s">
        <v>445</v>
      </c>
      <c r="C45" s="291">
        <v>44060</v>
      </c>
      <c r="D45" s="291">
        <v>44061</v>
      </c>
      <c r="E45" s="289" t="s">
        <v>446</v>
      </c>
      <c r="F45" s="289" t="s">
        <v>452</v>
      </c>
      <c r="G45" s="289" t="s">
        <v>467</v>
      </c>
      <c r="H45" s="289" t="s">
        <v>441</v>
      </c>
      <c r="I45" s="289" t="s">
        <v>442</v>
      </c>
      <c r="J45" s="289" t="s">
        <v>443</v>
      </c>
      <c r="K45" s="289" t="s">
        <v>443</v>
      </c>
      <c r="L45" s="292">
        <v>0</v>
      </c>
      <c r="M45" s="292">
        <v>29.643999999999998</v>
      </c>
      <c r="N45" s="292">
        <v>38.479999999999997</v>
      </c>
      <c r="O45" s="289" t="s">
        <v>444</v>
      </c>
      <c r="P45" s="292">
        <v>4</v>
      </c>
      <c r="Q45" s="293">
        <v>73.91</v>
      </c>
      <c r="R45" s="293">
        <v>16.98</v>
      </c>
      <c r="S45" s="293">
        <v>0</v>
      </c>
      <c r="T45" s="293">
        <v>0</v>
      </c>
      <c r="U45" s="293">
        <v>90.89</v>
      </c>
      <c r="V45" s="289"/>
    </row>
    <row r="46" spans="1:22" s="61" customFormat="1" hidden="1" x14ac:dyDescent="0.25">
      <c r="A46" s="62">
        <v>1469508</v>
      </c>
      <c r="B46" s="61" t="s">
        <v>437</v>
      </c>
      <c r="C46" s="63">
        <v>44026</v>
      </c>
      <c r="D46" s="63">
        <v>44032</v>
      </c>
      <c r="E46" s="61" t="s">
        <v>450</v>
      </c>
      <c r="F46" s="61" t="s">
        <v>468</v>
      </c>
      <c r="G46" s="61" t="s">
        <v>440</v>
      </c>
      <c r="H46" s="61" t="s">
        <v>441</v>
      </c>
      <c r="I46" s="61" t="s">
        <v>442</v>
      </c>
      <c r="J46" s="61" t="s">
        <v>443</v>
      </c>
      <c r="K46" s="61" t="s">
        <v>443</v>
      </c>
      <c r="L46" s="64">
        <v>0</v>
      </c>
      <c r="M46" s="64">
        <v>0</v>
      </c>
      <c r="N46" s="64">
        <v>28.173999999999999</v>
      </c>
      <c r="O46" s="61" t="s">
        <v>444</v>
      </c>
      <c r="P46" s="64">
        <v>8.4499999999999993</v>
      </c>
      <c r="Q46" s="65">
        <v>5316.21</v>
      </c>
      <c r="R46" s="65">
        <v>335.56</v>
      </c>
      <c r="S46" s="65">
        <v>404.91</v>
      </c>
      <c r="T46" s="65">
        <v>0</v>
      </c>
      <c r="U46" s="65">
        <v>6056.68</v>
      </c>
    </row>
    <row r="47" spans="1:22" x14ac:dyDescent="0.25">
      <c r="A47" s="290">
        <v>1459549</v>
      </c>
      <c r="B47" s="289" t="s">
        <v>437</v>
      </c>
      <c r="C47" s="291">
        <v>43937</v>
      </c>
      <c r="D47" s="291">
        <v>43938</v>
      </c>
      <c r="E47" s="289" t="s">
        <v>450</v>
      </c>
      <c r="F47" s="289" t="s">
        <v>456</v>
      </c>
      <c r="G47" s="289" t="s">
        <v>467</v>
      </c>
      <c r="H47" s="289" t="s">
        <v>441</v>
      </c>
      <c r="I47" s="289" t="s">
        <v>442</v>
      </c>
      <c r="J47" s="289" t="s">
        <v>443</v>
      </c>
      <c r="K47" s="289" t="s">
        <v>443</v>
      </c>
      <c r="L47" s="292">
        <v>0</v>
      </c>
      <c r="M47" s="292">
        <v>31.5</v>
      </c>
      <c r="N47" s="292">
        <v>32</v>
      </c>
      <c r="O47" s="289" t="s">
        <v>444</v>
      </c>
      <c r="P47" s="292">
        <v>1000</v>
      </c>
      <c r="Q47" s="293">
        <v>1306.83</v>
      </c>
      <c r="R47" s="293">
        <v>69.12</v>
      </c>
      <c r="S47" s="293">
        <v>0</v>
      </c>
      <c r="T47" s="293">
        <v>0</v>
      </c>
      <c r="U47" s="293">
        <v>1375.95</v>
      </c>
      <c r="V47" s="289"/>
    </row>
    <row r="48" spans="1:22" x14ac:dyDescent="0.25">
      <c r="A48" s="290">
        <v>1453966</v>
      </c>
      <c r="B48" s="289" t="s">
        <v>445</v>
      </c>
      <c r="C48" s="291">
        <v>43878</v>
      </c>
      <c r="D48" s="291">
        <v>43881</v>
      </c>
      <c r="E48" s="289" t="s">
        <v>446</v>
      </c>
      <c r="F48" s="289" t="s">
        <v>452</v>
      </c>
      <c r="G48" s="289" t="s">
        <v>467</v>
      </c>
      <c r="H48" s="289" t="s">
        <v>441</v>
      </c>
      <c r="I48" s="289" t="s">
        <v>442</v>
      </c>
      <c r="J48" s="289" t="s">
        <v>443</v>
      </c>
      <c r="K48" s="289" t="s">
        <v>443</v>
      </c>
      <c r="L48" s="292">
        <v>0</v>
      </c>
      <c r="M48" s="292">
        <v>29.643999999999998</v>
      </c>
      <c r="N48" s="292">
        <v>38.479999999999997</v>
      </c>
      <c r="O48" s="289" t="s">
        <v>444</v>
      </c>
      <c r="P48" s="292">
        <v>8</v>
      </c>
      <c r="Q48" s="293">
        <v>105.91</v>
      </c>
      <c r="R48" s="293">
        <v>18.350000000000001</v>
      </c>
      <c r="S48" s="293">
        <v>0</v>
      </c>
      <c r="T48" s="293">
        <v>0</v>
      </c>
      <c r="U48" s="293">
        <v>124.26</v>
      </c>
      <c r="V48" s="289"/>
    </row>
    <row r="49" spans="1:22" s="61" customFormat="1" hidden="1" x14ac:dyDescent="0.25">
      <c r="A49" s="62">
        <v>1448070</v>
      </c>
      <c r="B49" s="61" t="s">
        <v>445</v>
      </c>
      <c r="C49" s="63">
        <v>43836</v>
      </c>
      <c r="D49" s="63">
        <v>43837</v>
      </c>
      <c r="E49" s="61" t="s">
        <v>446</v>
      </c>
      <c r="F49" s="61" t="s">
        <v>452</v>
      </c>
      <c r="G49" s="61" t="s">
        <v>440</v>
      </c>
      <c r="H49" s="61" t="s">
        <v>441</v>
      </c>
      <c r="I49" s="61" t="s">
        <v>442</v>
      </c>
      <c r="J49" s="61" t="s">
        <v>443</v>
      </c>
      <c r="K49" s="61" t="s">
        <v>443</v>
      </c>
      <c r="L49" s="64">
        <v>0</v>
      </c>
      <c r="M49" s="64">
        <v>0</v>
      </c>
      <c r="N49" s="64">
        <v>28.173999999999999</v>
      </c>
      <c r="O49" s="61" t="s">
        <v>444</v>
      </c>
      <c r="P49" s="64">
        <v>7.25</v>
      </c>
      <c r="Q49" s="65">
        <v>144.94</v>
      </c>
      <c r="R49" s="65">
        <v>18.350000000000001</v>
      </c>
      <c r="S49" s="65">
        <v>0</v>
      </c>
      <c r="T49" s="65">
        <v>0</v>
      </c>
      <c r="U49" s="65">
        <v>163.29</v>
      </c>
    </row>
    <row r="50" spans="1:22" x14ac:dyDescent="0.25">
      <c r="A50" s="290">
        <v>1438797</v>
      </c>
      <c r="B50" s="289" t="s">
        <v>437</v>
      </c>
      <c r="C50" s="291">
        <v>43746.347858796296</v>
      </c>
      <c r="D50" s="291">
        <v>43748</v>
      </c>
      <c r="E50" s="289" t="s">
        <v>450</v>
      </c>
      <c r="F50" s="289" t="s">
        <v>469</v>
      </c>
      <c r="G50" s="289" t="s">
        <v>467</v>
      </c>
      <c r="H50" s="289" t="s">
        <v>441</v>
      </c>
      <c r="I50" s="289" t="s">
        <v>442</v>
      </c>
      <c r="J50" s="289" t="s">
        <v>443</v>
      </c>
      <c r="K50" s="289" t="s">
        <v>443</v>
      </c>
      <c r="L50" s="292">
        <v>0</v>
      </c>
      <c r="M50" s="292">
        <v>29.643999999999998</v>
      </c>
      <c r="N50" s="292">
        <v>38.479999999999997</v>
      </c>
      <c r="O50" s="289" t="s">
        <v>444</v>
      </c>
      <c r="P50" s="292">
        <v>3.7</v>
      </c>
      <c r="Q50" s="293">
        <v>5122.95</v>
      </c>
      <c r="R50" s="293">
        <v>1147.1199999999999</v>
      </c>
      <c r="S50" s="293">
        <v>0</v>
      </c>
      <c r="T50" s="293">
        <v>0</v>
      </c>
      <c r="U50" s="293">
        <v>6270.07</v>
      </c>
      <c r="V50" s="289"/>
    </row>
    <row r="51" spans="1:22" s="61" customFormat="1" hidden="1" x14ac:dyDescent="0.25">
      <c r="A51" s="62">
        <v>1435219</v>
      </c>
      <c r="B51" s="61" t="s">
        <v>445</v>
      </c>
      <c r="C51" s="63">
        <v>43719</v>
      </c>
      <c r="D51" s="63">
        <v>43720</v>
      </c>
      <c r="E51" s="61" t="s">
        <v>446</v>
      </c>
      <c r="F51" s="61" t="s">
        <v>452</v>
      </c>
      <c r="G51" s="61" t="s">
        <v>440</v>
      </c>
      <c r="H51" s="61" t="s">
        <v>441</v>
      </c>
      <c r="I51" s="61" t="s">
        <v>442</v>
      </c>
      <c r="J51" s="61" t="s">
        <v>443</v>
      </c>
      <c r="K51" s="61" t="s">
        <v>443</v>
      </c>
      <c r="L51" s="64">
        <v>0</v>
      </c>
      <c r="M51" s="64">
        <v>0</v>
      </c>
      <c r="N51" s="64">
        <v>28.173999999999999</v>
      </c>
      <c r="O51" s="61" t="s">
        <v>444</v>
      </c>
      <c r="P51" s="64">
        <v>28</v>
      </c>
      <c r="Q51" s="65">
        <v>474.6</v>
      </c>
      <c r="R51" s="65">
        <v>110.1</v>
      </c>
      <c r="S51" s="65">
        <v>0</v>
      </c>
      <c r="T51" s="65">
        <v>0</v>
      </c>
      <c r="U51" s="65">
        <v>584.70000000000005</v>
      </c>
    </row>
    <row r="52" spans="1:22" s="61" customFormat="1" hidden="1" x14ac:dyDescent="0.25">
      <c r="A52" s="62">
        <v>1434590</v>
      </c>
      <c r="B52" s="61" t="s">
        <v>445</v>
      </c>
      <c r="C52" s="63">
        <v>43714</v>
      </c>
      <c r="D52" s="63">
        <v>43715</v>
      </c>
      <c r="E52" s="61" t="s">
        <v>446</v>
      </c>
      <c r="F52" s="61" t="s">
        <v>452</v>
      </c>
      <c r="G52" s="61" t="s">
        <v>440</v>
      </c>
      <c r="H52" s="61" t="s">
        <v>441</v>
      </c>
      <c r="I52" s="61" t="s">
        <v>442</v>
      </c>
      <c r="J52" s="61" t="s">
        <v>443</v>
      </c>
      <c r="K52" s="61" t="s">
        <v>443</v>
      </c>
      <c r="L52" s="64">
        <v>0</v>
      </c>
      <c r="M52" s="64">
        <v>0</v>
      </c>
      <c r="N52" s="64">
        <v>28.173999999999999</v>
      </c>
      <c r="O52" s="61" t="s">
        <v>444</v>
      </c>
      <c r="P52" s="64">
        <v>8.5</v>
      </c>
      <c r="Q52" s="65">
        <v>220.65</v>
      </c>
      <c r="R52" s="65">
        <v>55.05</v>
      </c>
      <c r="S52" s="65">
        <v>0</v>
      </c>
      <c r="T52" s="65">
        <v>0</v>
      </c>
      <c r="U52" s="65">
        <v>275.7</v>
      </c>
    </row>
    <row r="53" spans="1:22" s="61" customFormat="1" hidden="1" x14ac:dyDescent="0.25">
      <c r="A53" s="62">
        <v>1416598</v>
      </c>
      <c r="B53" s="61" t="s">
        <v>445</v>
      </c>
      <c r="C53" s="63">
        <v>43626</v>
      </c>
      <c r="D53" s="63">
        <v>43627</v>
      </c>
      <c r="E53" s="61" t="s">
        <v>446</v>
      </c>
      <c r="F53" s="61" t="s">
        <v>452</v>
      </c>
      <c r="G53" s="61" t="s">
        <v>440</v>
      </c>
      <c r="H53" s="61" t="s">
        <v>441</v>
      </c>
      <c r="I53" s="61" t="s">
        <v>442</v>
      </c>
      <c r="J53" s="61" t="s">
        <v>443</v>
      </c>
      <c r="K53" s="61" t="s">
        <v>443</v>
      </c>
      <c r="L53" s="64">
        <v>0</v>
      </c>
      <c r="M53" s="64">
        <v>0</v>
      </c>
      <c r="N53" s="64">
        <v>28.173999999999999</v>
      </c>
      <c r="O53" s="61" t="s">
        <v>444</v>
      </c>
      <c r="P53" s="64">
        <v>8</v>
      </c>
      <c r="Q53" s="65">
        <v>167.64</v>
      </c>
      <c r="R53" s="65">
        <v>55.05</v>
      </c>
      <c r="S53" s="65">
        <v>0</v>
      </c>
      <c r="T53" s="65">
        <v>0</v>
      </c>
      <c r="U53" s="65">
        <v>222.69</v>
      </c>
    </row>
    <row r="54" spans="1:22" x14ac:dyDescent="0.25">
      <c r="A54" s="290">
        <v>1386387</v>
      </c>
      <c r="B54" s="289" t="s">
        <v>437</v>
      </c>
      <c r="C54" s="291">
        <v>43472</v>
      </c>
      <c r="D54" s="291">
        <v>43500</v>
      </c>
      <c r="E54" s="289" t="s">
        <v>450</v>
      </c>
      <c r="F54" s="289" t="s">
        <v>470</v>
      </c>
      <c r="G54" s="289" t="s">
        <v>467</v>
      </c>
      <c r="H54" s="289" t="s">
        <v>441</v>
      </c>
      <c r="I54" s="289" t="s">
        <v>442</v>
      </c>
      <c r="J54" s="289" t="s">
        <v>443</v>
      </c>
      <c r="K54" s="289" t="s">
        <v>443</v>
      </c>
      <c r="L54" s="292">
        <v>0</v>
      </c>
      <c r="M54" s="292">
        <v>38.479999999999997</v>
      </c>
      <c r="N54" s="292">
        <v>38.479999999999997</v>
      </c>
      <c r="O54" s="289" t="s">
        <v>444</v>
      </c>
      <c r="P54" s="292">
        <v>10</v>
      </c>
      <c r="Q54" s="293">
        <v>29982.37</v>
      </c>
      <c r="R54" s="293">
        <v>12468.7</v>
      </c>
      <c r="S54" s="293">
        <v>31143.62</v>
      </c>
      <c r="T54" s="293">
        <v>1404.27</v>
      </c>
      <c r="U54" s="293">
        <v>74998.960000000006</v>
      </c>
      <c r="V54" s="289"/>
    </row>
    <row r="55" spans="1:22" s="61" customFormat="1" hidden="1" x14ac:dyDescent="0.25">
      <c r="A55" s="62">
        <v>1377345</v>
      </c>
      <c r="B55" s="61" t="s">
        <v>449</v>
      </c>
      <c r="C55" s="63">
        <v>43403</v>
      </c>
      <c r="D55" s="63">
        <v>43410</v>
      </c>
      <c r="E55" s="61" t="s">
        <v>455</v>
      </c>
      <c r="F55" s="61" t="s">
        <v>471</v>
      </c>
      <c r="G55" s="61" t="s">
        <v>440</v>
      </c>
      <c r="H55" s="61" t="s">
        <v>457</v>
      </c>
      <c r="I55" s="61" t="s">
        <v>442</v>
      </c>
      <c r="J55" s="61" t="s">
        <v>443</v>
      </c>
      <c r="K55" s="61" t="s">
        <v>443</v>
      </c>
      <c r="L55" s="64">
        <v>0</v>
      </c>
      <c r="M55" s="64">
        <v>0</v>
      </c>
      <c r="N55" s="64">
        <v>28.173999999999999</v>
      </c>
      <c r="O55" s="61" t="s">
        <v>444</v>
      </c>
      <c r="P55" s="64">
        <v>95.42</v>
      </c>
      <c r="Q55" s="65">
        <v>3739.99</v>
      </c>
      <c r="R55" s="65">
        <v>3184.8</v>
      </c>
      <c r="S55" s="65">
        <v>9462.67</v>
      </c>
      <c r="T55" s="65">
        <v>0</v>
      </c>
      <c r="U55" s="65">
        <v>16387.46</v>
      </c>
    </row>
    <row r="56" spans="1:22" x14ac:dyDescent="0.25">
      <c r="A56" s="290">
        <v>1369037</v>
      </c>
      <c r="B56" s="289" t="s">
        <v>445</v>
      </c>
      <c r="C56" s="291">
        <v>43356</v>
      </c>
      <c r="D56" s="291">
        <v>43357</v>
      </c>
      <c r="E56" s="289" t="s">
        <v>446</v>
      </c>
      <c r="F56" s="289" t="s">
        <v>452</v>
      </c>
      <c r="G56" s="289" t="s">
        <v>467</v>
      </c>
      <c r="H56" s="289" t="s">
        <v>441</v>
      </c>
      <c r="I56" s="289" t="s">
        <v>442</v>
      </c>
      <c r="J56" s="289" t="s">
        <v>443</v>
      </c>
      <c r="K56" s="289" t="s">
        <v>443</v>
      </c>
      <c r="L56" s="292">
        <v>0</v>
      </c>
      <c r="M56" s="292">
        <v>29.643999999999998</v>
      </c>
      <c r="N56" s="292">
        <v>38.479999999999997</v>
      </c>
      <c r="O56" s="289" t="s">
        <v>444</v>
      </c>
      <c r="P56" s="292">
        <v>11.25</v>
      </c>
      <c r="Q56" s="293">
        <v>149.88</v>
      </c>
      <c r="R56" s="293">
        <v>55.05</v>
      </c>
      <c r="S56" s="293">
        <v>0</v>
      </c>
      <c r="T56" s="293">
        <v>0</v>
      </c>
      <c r="U56" s="293">
        <v>204.93</v>
      </c>
      <c r="V56" s="289"/>
    </row>
    <row r="57" spans="1:22" s="61" customFormat="1" hidden="1" x14ac:dyDescent="0.25">
      <c r="A57" s="62">
        <v>1368917</v>
      </c>
      <c r="B57" s="61" t="s">
        <v>437</v>
      </c>
      <c r="C57" s="63">
        <v>43356</v>
      </c>
      <c r="D57" s="63">
        <v>43362</v>
      </c>
      <c r="E57" s="61" t="s">
        <v>450</v>
      </c>
      <c r="F57" s="61" t="s">
        <v>470</v>
      </c>
      <c r="G57" s="61" t="s">
        <v>440</v>
      </c>
      <c r="H57" s="61" t="s">
        <v>441</v>
      </c>
      <c r="I57" s="61" t="s">
        <v>442</v>
      </c>
      <c r="J57" s="61" t="s">
        <v>443</v>
      </c>
      <c r="K57" s="61" t="s">
        <v>443</v>
      </c>
      <c r="L57" s="64">
        <v>0</v>
      </c>
      <c r="M57" s="64">
        <v>27</v>
      </c>
      <c r="N57" s="64">
        <v>28.173999999999999</v>
      </c>
      <c r="O57" s="61" t="s">
        <v>444</v>
      </c>
      <c r="P57" s="64">
        <v>2</v>
      </c>
      <c r="Q57" s="65">
        <v>4675.8500000000004</v>
      </c>
      <c r="R57" s="65">
        <v>2717.87</v>
      </c>
      <c r="S57" s="65">
        <v>1998.97</v>
      </c>
      <c r="T57" s="65">
        <v>0</v>
      </c>
      <c r="U57" s="65">
        <v>9392.69</v>
      </c>
    </row>
    <row r="58" spans="1:22" s="61" customFormat="1" hidden="1" x14ac:dyDescent="0.25">
      <c r="A58" s="62">
        <v>1367512</v>
      </c>
      <c r="B58" s="61" t="s">
        <v>445</v>
      </c>
      <c r="C58" s="63">
        <v>43349</v>
      </c>
      <c r="D58" s="63">
        <v>43350</v>
      </c>
      <c r="E58" s="61" t="s">
        <v>446</v>
      </c>
      <c r="F58" s="61" t="s">
        <v>452</v>
      </c>
      <c r="G58" s="61" t="s">
        <v>440</v>
      </c>
      <c r="H58" s="61" t="s">
        <v>441</v>
      </c>
      <c r="I58" s="61" t="s">
        <v>442</v>
      </c>
      <c r="J58" s="61" t="s">
        <v>443</v>
      </c>
      <c r="K58" s="61" t="s">
        <v>443</v>
      </c>
      <c r="L58" s="64">
        <v>0</v>
      </c>
      <c r="M58" s="64">
        <v>0</v>
      </c>
      <c r="N58" s="64">
        <v>28.173999999999999</v>
      </c>
      <c r="O58" s="61" t="s">
        <v>444</v>
      </c>
      <c r="P58" s="64">
        <v>18</v>
      </c>
      <c r="Q58" s="65">
        <v>199.84</v>
      </c>
      <c r="R58" s="65">
        <v>73.400000000000006</v>
      </c>
      <c r="S58" s="65">
        <v>0</v>
      </c>
      <c r="T58" s="65">
        <v>0</v>
      </c>
      <c r="U58" s="65">
        <v>273.24</v>
      </c>
    </row>
    <row r="59" spans="1:22" s="61" customFormat="1" hidden="1" x14ac:dyDescent="0.25">
      <c r="A59" s="62">
        <v>1367188</v>
      </c>
      <c r="B59" s="61" t="s">
        <v>445</v>
      </c>
      <c r="C59" s="63">
        <v>43348</v>
      </c>
      <c r="D59" s="63">
        <v>43349</v>
      </c>
      <c r="E59" s="61" t="s">
        <v>446</v>
      </c>
      <c r="F59" s="61" t="s">
        <v>452</v>
      </c>
      <c r="G59" s="61" t="s">
        <v>440</v>
      </c>
      <c r="H59" s="61" t="s">
        <v>441</v>
      </c>
      <c r="I59" s="61" t="s">
        <v>442</v>
      </c>
      <c r="J59" s="61" t="s">
        <v>443</v>
      </c>
      <c r="K59" s="61" t="s">
        <v>443</v>
      </c>
      <c r="L59" s="64">
        <v>0</v>
      </c>
      <c r="M59" s="64">
        <v>0</v>
      </c>
      <c r="N59" s="64">
        <v>28.173999999999999</v>
      </c>
      <c r="O59" s="61" t="s">
        <v>444</v>
      </c>
      <c r="P59" s="64">
        <v>17.75</v>
      </c>
      <c r="Q59" s="65">
        <v>99.92</v>
      </c>
      <c r="R59" s="65">
        <v>36.700000000000003</v>
      </c>
      <c r="S59" s="65">
        <v>0</v>
      </c>
      <c r="T59" s="65">
        <v>0</v>
      </c>
      <c r="U59" s="65">
        <v>136.62</v>
      </c>
    </row>
    <row r="60" spans="1:22" s="61" customFormat="1" hidden="1" x14ac:dyDescent="0.25">
      <c r="A60" s="62">
        <v>1357908</v>
      </c>
      <c r="B60" s="61" t="s">
        <v>472</v>
      </c>
      <c r="C60" s="63">
        <v>43312.537118055552</v>
      </c>
      <c r="D60" s="63">
        <v>43312.537118055552</v>
      </c>
      <c r="E60" s="61" t="s">
        <v>473</v>
      </c>
      <c r="F60" s="61" t="s">
        <v>474</v>
      </c>
      <c r="G60" s="61" t="s">
        <v>440</v>
      </c>
      <c r="H60" s="61" t="s">
        <v>441</v>
      </c>
      <c r="I60" s="61" t="s">
        <v>442</v>
      </c>
      <c r="J60" s="61" t="s">
        <v>443</v>
      </c>
      <c r="K60" s="61" t="s">
        <v>443</v>
      </c>
      <c r="L60" s="64">
        <v>0</v>
      </c>
      <c r="M60" s="64">
        <v>0</v>
      </c>
      <c r="N60" s="64">
        <v>28.173999999999999</v>
      </c>
      <c r="O60" s="61" t="s">
        <v>444</v>
      </c>
      <c r="P60" s="64">
        <v>0</v>
      </c>
      <c r="Q60" s="65">
        <v>0</v>
      </c>
      <c r="R60" s="65">
        <v>0</v>
      </c>
      <c r="S60" s="65">
        <v>0</v>
      </c>
      <c r="T60" s="65">
        <v>0</v>
      </c>
      <c r="U60" s="65">
        <v>0</v>
      </c>
    </row>
    <row r="61" spans="1:22" x14ac:dyDescent="0.25">
      <c r="A61" s="290">
        <v>1357908</v>
      </c>
      <c r="B61" s="289" t="s">
        <v>472</v>
      </c>
      <c r="C61" s="291">
        <v>43312.537118055552</v>
      </c>
      <c r="D61" s="291">
        <v>43312.537118055552</v>
      </c>
      <c r="E61" s="289" t="s">
        <v>473</v>
      </c>
      <c r="F61" s="289" t="s">
        <v>474</v>
      </c>
      <c r="G61" s="289" t="s">
        <v>467</v>
      </c>
      <c r="H61" s="289" t="s">
        <v>441</v>
      </c>
      <c r="I61" s="289" t="s">
        <v>442</v>
      </c>
      <c r="J61" s="289" t="s">
        <v>443</v>
      </c>
      <c r="K61" s="289" t="s">
        <v>443</v>
      </c>
      <c r="L61" s="292">
        <v>0</v>
      </c>
      <c r="M61" s="292">
        <v>29.643999999999998</v>
      </c>
      <c r="N61" s="292">
        <v>38.479999999999997</v>
      </c>
      <c r="O61" s="289" t="s">
        <v>444</v>
      </c>
      <c r="P61" s="292">
        <v>0</v>
      </c>
      <c r="Q61" s="293">
        <v>0</v>
      </c>
      <c r="R61" s="293">
        <v>0</v>
      </c>
      <c r="S61" s="293">
        <v>0</v>
      </c>
      <c r="T61" s="293">
        <v>0</v>
      </c>
      <c r="U61" s="293">
        <v>0</v>
      </c>
      <c r="V61" s="289"/>
    </row>
    <row r="62" spans="1:22" s="61" customFormat="1" hidden="1" x14ac:dyDescent="0.25">
      <c r="A62" s="62">
        <v>1357908</v>
      </c>
      <c r="B62" s="61" t="s">
        <v>472</v>
      </c>
      <c r="C62" s="63">
        <v>43312.537118055552</v>
      </c>
      <c r="D62" s="63">
        <v>43312.537118055552</v>
      </c>
      <c r="E62" s="61" t="s">
        <v>473</v>
      </c>
      <c r="F62" s="61" t="s">
        <v>474</v>
      </c>
      <c r="G62" s="61" t="s">
        <v>475</v>
      </c>
      <c r="H62" s="61" t="s">
        <v>441</v>
      </c>
      <c r="I62" s="61" t="s">
        <v>454</v>
      </c>
      <c r="J62" s="61" t="s">
        <v>443</v>
      </c>
      <c r="K62" s="61" t="s">
        <v>443</v>
      </c>
      <c r="L62" s="64">
        <v>0</v>
      </c>
      <c r="M62" s="64">
        <v>0</v>
      </c>
      <c r="N62" s="64">
        <v>3.4409999999999998</v>
      </c>
      <c r="O62" s="61" t="s">
        <v>444</v>
      </c>
      <c r="P62" s="64">
        <v>0</v>
      </c>
      <c r="Q62" s="65">
        <v>0</v>
      </c>
      <c r="R62" s="65">
        <v>0</v>
      </c>
      <c r="S62" s="65">
        <v>0</v>
      </c>
      <c r="T62" s="65">
        <v>0</v>
      </c>
      <c r="U62" s="65">
        <v>0</v>
      </c>
    </row>
    <row r="63" spans="1:22" s="61" customFormat="1" hidden="1" x14ac:dyDescent="0.25">
      <c r="A63" s="62">
        <v>1357734</v>
      </c>
      <c r="B63" s="61" t="s">
        <v>445</v>
      </c>
      <c r="C63" s="63">
        <v>43305</v>
      </c>
      <c r="D63" s="63">
        <v>43312</v>
      </c>
      <c r="E63" s="61" t="s">
        <v>446</v>
      </c>
      <c r="F63" s="61" t="s">
        <v>452</v>
      </c>
      <c r="G63" s="61" t="s">
        <v>440</v>
      </c>
      <c r="H63" s="61" t="s">
        <v>441</v>
      </c>
      <c r="I63" s="61" t="s">
        <v>442</v>
      </c>
      <c r="J63" s="61" t="s">
        <v>443</v>
      </c>
      <c r="K63" s="61" t="s">
        <v>443</v>
      </c>
      <c r="L63" s="64">
        <v>0</v>
      </c>
      <c r="M63" s="64">
        <v>0</v>
      </c>
      <c r="N63" s="64">
        <v>28.173999999999999</v>
      </c>
      <c r="O63" s="61" t="s">
        <v>444</v>
      </c>
      <c r="P63" s="64">
        <v>26</v>
      </c>
      <c r="Q63" s="65">
        <v>257.48</v>
      </c>
      <c r="R63" s="65">
        <v>77.48</v>
      </c>
      <c r="S63" s="65">
        <v>0</v>
      </c>
      <c r="T63" s="65">
        <v>0</v>
      </c>
      <c r="U63" s="65">
        <v>334.96</v>
      </c>
    </row>
    <row r="64" spans="1:22" s="61" customFormat="1" hidden="1" x14ac:dyDescent="0.25">
      <c r="A64" s="62">
        <v>1354290</v>
      </c>
      <c r="B64" s="61" t="s">
        <v>445</v>
      </c>
      <c r="C64" s="63">
        <v>43297</v>
      </c>
      <c r="D64" s="63">
        <v>43299</v>
      </c>
      <c r="E64" s="61" t="s">
        <v>446</v>
      </c>
      <c r="F64" s="61" t="s">
        <v>452</v>
      </c>
      <c r="G64" s="61" t="s">
        <v>440</v>
      </c>
      <c r="H64" s="61" t="s">
        <v>441</v>
      </c>
      <c r="I64" s="61" t="s">
        <v>442</v>
      </c>
      <c r="J64" s="61" t="s">
        <v>443</v>
      </c>
      <c r="K64" s="61" t="s">
        <v>443</v>
      </c>
      <c r="L64" s="64">
        <v>0</v>
      </c>
      <c r="M64" s="64">
        <v>0</v>
      </c>
      <c r="N64" s="64">
        <v>28.173999999999999</v>
      </c>
      <c r="O64" s="61" t="s">
        <v>444</v>
      </c>
      <c r="P64" s="64">
        <v>2.19</v>
      </c>
      <c r="Q64" s="65">
        <v>128.74</v>
      </c>
      <c r="R64" s="65">
        <v>38.74</v>
      </c>
      <c r="S64" s="65">
        <v>0</v>
      </c>
      <c r="T64" s="65">
        <v>0</v>
      </c>
      <c r="U64" s="65">
        <v>167.48</v>
      </c>
    </row>
    <row r="65" spans="1:22" s="61" customFormat="1" hidden="1" x14ac:dyDescent="0.25">
      <c r="A65" s="62">
        <v>1345187</v>
      </c>
      <c r="B65" s="61" t="s">
        <v>445</v>
      </c>
      <c r="C65" s="63">
        <v>43276</v>
      </c>
      <c r="D65" s="63">
        <v>43299</v>
      </c>
      <c r="E65" s="61" t="s">
        <v>446</v>
      </c>
      <c r="F65" s="61" t="s">
        <v>476</v>
      </c>
      <c r="G65" s="61" t="s">
        <v>440</v>
      </c>
      <c r="H65" s="61" t="s">
        <v>441</v>
      </c>
      <c r="I65" s="61" t="s">
        <v>442</v>
      </c>
      <c r="J65" s="61" t="s">
        <v>443</v>
      </c>
      <c r="K65" s="61" t="s">
        <v>443</v>
      </c>
      <c r="L65" s="64">
        <v>0</v>
      </c>
      <c r="M65" s="64">
        <v>0</v>
      </c>
      <c r="N65" s="64">
        <v>28.173999999999999</v>
      </c>
      <c r="O65" s="61" t="s">
        <v>444</v>
      </c>
      <c r="P65" s="64">
        <v>81289</v>
      </c>
      <c r="Q65" s="65">
        <v>1310.67</v>
      </c>
      <c r="R65" s="65">
        <v>1269.99</v>
      </c>
      <c r="S65" s="65">
        <v>2696.79</v>
      </c>
      <c r="T65" s="65">
        <v>0</v>
      </c>
      <c r="U65" s="65">
        <v>5277.45</v>
      </c>
    </row>
    <row r="66" spans="1:22" s="61" customFormat="1" hidden="1" x14ac:dyDescent="0.25">
      <c r="A66" s="62">
        <v>1332902</v>
      </c>
      <c r="B66" s="61" t="s">
        <v>445</v>
      </c>
      <c r="C66" s="63">
        <v>43213</v>
      </c>
      <c r="D66" s="63">
        <v>43214</v>
      </c>
      <c r="E66" s="61" t="s">
        <v>446</v>
      </c>
      <c r="F66" s="61" t="s">
        <v>452</v>
      </c>
      <c r="G66" s="61" t="s">
        <v>440</v>
      </c>
      <c r="H66" s="61" t="s">
        <v>441</v>
      </c>
      <c r="I66" s="61" t="s">
        <v>442</v>
      </c>
      <c r="J66" s="61" t="s">
        <v>443</v>
      </c>
      <c r="K66" s="61" t="s">
        <v>443</v>
      </c>
      <c r="L66" s="64">
        <v>0</v>
      </c>
      <c r="M66" s="64">
        <v>0</v>
      </c>
      <c r="N66" s="64">
        <v>28.173999999999999</v>
      </c>
      <c r="O66" s="61" t="s">
        <v>444</v>
      </c>
      <c r="P66" s="64">
        <v>6.25</v>
      </c>
      <c r="Q66" s="65">
        <v>186.72</v>
      </c>
      <c r="R66" s="65">
        <v>77.48</v>
      </c>
      <c r="S66" s="65">
        <v>0</v>
      </c>
      <c r="T66" s="65">
        <v>0</v>
      </c>
      <c r="U66" s="65">
        <v>264.2</v>
      </c>
    </row>
    <row r="67" spans="1:22" x14ac:dyDescent="0.25">
      <c r="A67" s="290">
        <v>1331831</v>
      </c>
      <c r="B67" s="289" t="s">
        <v>477</v>
      </c>
      <c r="C67" s="291">
        <v>43208</v>
      </c>
      <c r="D67" s="291">
        <v>43220</v>
      </c>
      <c r="E67" s="289" t="s">
        <v>450</v>
      </c>
      <c r="F67" s="289" t="s">
        <v>468</v>
      </c>
      <c r="G67" s="289" t="s">
        <v>467</v>
      </c>
      <c r="H67" s="289" t="s">
        <v>441</v>
      </c>
      <c r="I67" s="289" t="s">
        <v>442</v>
      </c>
      <c r="J67" s="289" t="s">
        <v>443</v>
      </c>
      <c r="K67" s="289" t="s">
        <v>443</v>
      </c>
      <c r="L67" s="292">
        <v>0</v>
      </c>
      <c r="M67" s="292">
        <v>29.643999999999998</v>
      </c>
      <c r="N67" s="292">
        <v>38.479999999999997</v>
      </c>
      <c r="O67" s="289" t="s">
        <v>444</v>
      </c>
      <c r="P67" s="292">
        <v>14.05</v>
      </c>
      <c r="Q67" s="293">
        <v>2108.84</v>
      </c>
      <c r="R67" s="293">
        <v>2273.59</v>
      </c>
      <c r="S67" s="293">
        <v>1239.49</v>
      </c>
      <c r="T67" s="293">
        <v>0</v>
      </c>
      <c r="U67" s="293">
        <v>5621.92</v>
      </c>
      <c r="V67" s="289"/>
    </row>
    <row r="68" spans="1:22" s="61" customFormat="1" hidden="1" x14ac:dyDescent="0.25">
      <c r="A68" s="62">
        <v>1316065</v>
      </c>
      <c r="B68" s="61" t="s">
        <v>437</v>
      </c>
      <c r="C68" s="63">
        <v>43129</v>
      </c>
      <c r="D68" s="63">
        <v>43278</v>
      </c>
      <c r="E68" s="61" t="s">
        <v>450</v>
      </c>
      <c r="F68" s="61" t="s">
        <v>474</v>
      </c>
      <c r="G68" s="61" t="s">
        <v>475</v>
      </c>
      <c r="H68" s="61" t="s">
        <v>441</v>
      </c>
      <c r="I68" s="61" t="s">
        <v>454</v>
      </c>
      <c r="J68" s="61" t="s">
        <v>443</v>
      </c>
      <c r="K68" s="61" t="s">
        <v>443</v>
      </c>
      <c r="L68" s="64">
        <v>0</v>
      </c>
      <c r="M68" s="64">
        <v>0.75</v>
      </c>
      <c r="N68" s="64">
        <v>2</v>
      </c>
      <c r="O68" s="61" t="s">
        <v>444</v>
      </c>
      <c r="P68" s="64">
        <v>6</v>
      </c>
      <c r="Q68" s="65">
        <v>0</v>
      </c>
      <c r="R68" s="65">
        <v>0</v>
      </c>
      <c r="S68" s="65">
        <v>0</v>
      </c>
      <c r="T68" s="65">
        <v>24550</v>
      </c>
      <c r="U68" s="65">
        <v>24550</v>
      </c>
    </row>
    <row r="69" spans="1:22" s="61" customFormat="1" hidden="1" x14ac:dyDescent="0.25">
      <c r="A69" s="62">
        <v>1309062</v>
      </c>
      <c r="B69" s="61" t="s">
        <v>437</v>
      </c>
      <c r="C69" s="63">
        <v>43067</v>
      </c>
      <c r="D69" s="63">
        <v>43067</v>
      </c>
      <c r="E69" s="61" t="s">
        <v>450</v>
      </c>
      <c r="F69" s="61" t="s">
        <v>478</v>
      </c>
      <c r="G69" s="61" t="s">
        <v>467</v>
      </c>
      <c r="H69" s="61" t="s">
        <v>441</v>
      </c>
      <c r="I69" s="61" t="s">
        <v>442</v>
      </c>
      <c r="J69" s="61" t="s">
        <v>443</v>
      </c>
      <c r="K69" s="61" t="s">
        <v>443</v>
      </c>
      <c r="L69" s="64">
        <v>0</v>
      </c>
      <c r="M69" s="64">
        <v>29.643999999999998</v>
      </c>
      <c r="N69" s="64">
        <v>38.479999999999997</v>
      </c>
      <c r="O69" s="61" t="s">
        <v>444</v>
      </c>
      <c r="P69" s="64">
        <v>20</v>
      </c>
      <c r="Q69" s="65">
        <v>1107.3599999999999</v>
      </c>
      <c r="R69" s="65">
        <v>495.93</v>
      </c>
      <c r="S69" s="65">
        <v>254.09</v>
      </c>
      <c r="T69" s="65">
        <v>0</v>
      </c>
      <c r="U69" s="65">
        <v>1857.38</v>
      </c>
    </row>
    <row r="70" spans="1:22" s="61" customFormat="1" hidden="1" x14ac:dyDescent="0.25">
      <c r="A70" s="62">
        <v>1308984</v>
      </c>
      <c r="B70" s="61" t="s">
        <v>437</v>
      </c>
      <c r="C70" s="63">
        <v>43066</v>
      </c>
      <c r="D70" s="63">
        <v>43073</v>
      </c>
      <c r="E70" s="61" t="s">
        <v>450</v>
      </c>
      <c r="F70" s="61" t="s">
        <v>470</v>
      </c>
      <c r="G70" s="61" t="s">
        <v>467</v>
      </c>
      <c r="H70" s="61" t="s">
        <v>441</v>
      </c>
      <c r="I70" s="61" t="s">
        <v>442</v>
      </c>
      <c r="J70" s="61" t="s">
        <v>443</v>
      </c>
      <c r="K70" s="61" t="s">
        <v>443</v>
      </c>
      <c r="L70" s="64">
        <v>0</v>
      </c>
      <c r="M70" s="64">
        <v>29.643999999999998</v>
      </c>
      <c r="N70" s="64">
        <v>38.479999999999997</v>
      </c>
      <c r="O70" s="61" t="s">
        <v>444</v>
      </c>
      <c r="P70" s="64">
        <v>1</v>
      </c>
      <c r="Q70" s="65">
        <v>1336.37</v>
      </c>
      <c r="R70" s="65">
        <v>553.45000000000005</v>
      </c>
      <c r="S70" s="65">
        <v>385.75</v>
      </c>
      <c r="T70" s="65">
        <v>0</v>
      </c>
      <c r="U70" s="65">
        <v>2275.5700000000002</v>
      </c>
    </row>
    <row r="71" spans="1:22" s="61" customFormat="1" hidden="1" x14ac:dyDescent="0.25">
      <c r="A71" s="62">
        <v>1305292</v>
      </c>
      <c r="B71" s="61" t="s">
        <v>445</v>
      </c>
      <c r="C71" s="63">
        <v>43039</v>
      </c>
      <c r="D71" s="63">
        <v>43040</v>
      </c>
      <c r="E71" s="61" t="s">
        <v>446</v>
      </c>
      <c r="F71" s="61" t="s">
        <v>452</v>
      </c>
      <c r="G71" s="61" t="s">
        <v>440</v>
      </c>
      <c r="H71" s="61" t="s">
        <v>441</v>
      </c>
      <c r="I71" s="61" t="s">
        <v>442</v>
      </c>
      <c r="J71" s="61" t="s">
        <v>443</v>
      </c>
      <c r="K71" s="61" t="s">
        <v>443</v>
      </c>
      <c r="L71" s="64">
        <v>0</v>
      </c>
      <c r="M71" s="64">
        <v>0</v>
      </c>
      <c r="N71" s="64">
        <v>28.173999999999999</v>
      </c>
      <c r="O71" s="61" t="s">
        <v>444</v>
      </c>
      <c r="P71" s="64">
        <v>6.25</v>
      </c>
      <c r="Q71" s="65">
        <v>53.68</v>
      </c>
      <c r="R71" s="65">
        <v>19.37</v>
      </c>
      <c r="S71" s="65">
        <v>0</v>
      </c>
      <c r="T71" s="65">
        <v>0</v>
      </c>
      <c r="U71" s="65">
        <v>73.05</v>
      </c>
    </row>
    <row r="72" spans="1:22" s="61" customFormat="1" hidden="1" x14ac:dyDescent="0.25">
      <c r="A72" s="62">
        <v>1304537</v>
      </c>
      <c r="B72" s="61" t="s">
        <v>445</v>
      </c>
      <c r="C72" s="63">
        <v>43034</v>
      </c>
      <c r="D72" s="63">
        <v>43035</v>
      </c>
      <c r="E72" s="61" t="s">
        <v>446</v>
      </c>
      <c r="F72" s="61" t="s">
        <v>452</v>
      </c>
      <c r="G72" s="61" t="s">
        <v>440</v>
      </c>
      <c r="H72" s="61" t="s">
        <v>441</v>
      </c>
      <c r="I72" s="61" t="s">
        <v>442</v>
      </c>
      <c r="J72" s="61" t="s">
        <v>443</v>
      </c>
      <c r="K72" s="61" t="s">
        <v>443</v>
      </c>
      <c r="L72" s="64">
        <v>0</v>
      </c>
      <c r="M72" s="64">
        <v>0</v>
      </c>
      <c r="N72" s="64">
        <v>28.173999999999999</v>
      </c>
      <c r="O72" s="61" t="s">
        <v>444</v>
      </c>
      <c r="P72" s="64">
        <v>22.5</v>
      </c>
      <c r="Q72" s="65">
        <v>161.04</v>
      </c>
      <c r="R72" s="65">
        <v>58.11</v>
      </c>
      <c r="S72" s="65">
        <v>0</v>
      </c>
      <c r="T72" s="65">
        <v>0</v>
      </c>
      <c r="U72" s="65">
        <v>219.15</v>
      </c>
    </row>
    <row r="73" spans="1:22" s="61" customFormat="1" hidden="1" x14ac:dyDescent="0.25">
      <c r="A73" s="62">
        <v>1304534</v>
      </c>
      <c r="B73" s="61" t="s">
        <v>445</v>
      </c>
      <c r="C73" s="63">
        <v>43034</v>
      </c>
      <c r="D73" s="63">
        <v>43035</v>
      </c>
      <c r="E73" s="61" t="s">
        <v>446</v>
      </c>
      <c r="F73" s="61" t="s">
        <v>452</v>
      </c>
      <c r="G73" s="61" t="s">
        <v>440</v>
      </c>
      <c r="H73" s="61" t="s">
        <v>441</v>
      </c>
      <c r="I73" s="61" t="s">
        <v>442</v>
      </c>
      <c r="J73" s="61" t="s">
        <v>443</v>
      </c>
      <c r="K73" s="61" t="s">
        <v>443</v>
      </c>
      <c r="L73" s="64">
        <v>0</v>
      </c>
      <c r="M73" s="64">
        <v>0</v>
      </c>
      <c r="N73" s="64">
        <v>28.173999999999999</v>
      </c>
      <c r="O73" s="61" t="s">
        <v>444</v>
      </c>
      <c r="P73" s="64">
        <v>30</v>
      </c>
      <c r="Q73" s="65">
        <v>214.72</v>
      </c>
      <c r="R73" s="65">
        <v>77.48</v>
      </c>
      <c r="S73" s="65">
        <v>0</v>
      </c>
      <c r="T73" s="65">
        <v>0</v>
      </c>
      <c r="U73" s="65">
        <v>292.2</v>
      </c>
    </row>
    <row r="74" spans="1:22" s="61" customFormat="1" hidden="1" x14ac:dyDescent="0.25">
      <c r="A74" s="62">
        <v>1290525</v>
      </c>
      <c r="B74" s="61" t="s">
        <v>437</v>
      </c>
      <c r="C74" s="63">
        <v>42979</v>
      </c>
      <c r="D74" s="63">
        <v>42979</v>
      </c>
      <c r="E74" s="61" t="s">
        <v>450</v>
      </c>
      <c r="F74" s="61" t="s">
        <v>469</v>
      </c>
      <c r="G74" s="61" t="s">
        <v>475</v>
      </c>
      <c r="H74" s="61" t="s">
        <v>441</v>
      </c>
      <c r="I74" s="61" t="s">
        <v>454</v>
      </c>
      <c r="J74" s="61" t="s">
        <v>443</v>
      </c>
      <c r="K74" s="61" t="s">
        <v>443</v>
      </c>
      <c r="L74" s="64">
        <v>0</v>
      </c>
      <c r="M74" s="64">
        <v>0</v>
      </c>
      <c r="N74" s="64">
        <v>3.4409999999999998</v>
      </c>
      <c r="O74" s="61" t="s">
        <v>444</v>
      </c>
      <c r="P74" s="64">
        <v>0</v>
      </c>
      <c r="Q74" s="65">
        <v>0</v>
      </c>
      <c r="R74" s="65">
        <v>0</v>
      </c>
      <c r="S74" s="65">
        <v>0</v>
      </c>
      <c r="T74" s="65">
        <v>0</v>
      </c>
      <c r="U74" s="65">
        <v>0</v>
      </c>
    </row>
    <row r="75" spans="1:22" s="61" customFormat="1" hidden="1" x14ac:dyDescent="0.25">
      <c r="A75" s="62">
        <v>1289576</v>
      </c>
      <c r="B75" s="61" t="s">
        <v>437</v>
      </c>
      <c r="C75" s="63">
        <v>42976</v>
      </c>
      <c r="D75" s="63">
        <v>42976</v>
      </c>
      <c r="E75" s="61" t="s">
        <v>450</v>
      </c>
      <c r="F75" s="61" t="s">
        <v>479</v>
      </c>
      <c r="G75" s="61" t="s">
        <v>440</v>
      </c>
      <c r="H75" s="61" t="s">
        <v>441</v>
      </c>
      <c r="I75" s="61" t="s">
        <v>442</v>
      </c>
      <c r="J75" s="61" t="s">
        <v>443</v>
      </c>
      <c r="K75" s="61" t="s">
        <v>443</v>
      </c>
      <c r="L75" s="64">
        <v>0</v>
      </c>
      <c r="M75" s="64">
        <v>0</v>
      </c>
      <c r="N75" s="64">
        <v>28.173999999999999</v>
      </c>
      <c r="O75" s="61" t="s">
        <v>444</v>
      </c>
      <c r="P75" s="64">
        <v>0</v>
      </c>
      <c r="Q75" s="65">
        <v>0</v>
      </c>
      <c r="R75" s="65">
        <v>0</v>
      </c>
      <c r="S75" s="65">
        <v>0</v>
      </c>
      <c r="T75" s="65">
        <v>0</v>
      </c>
      <c r="U75" s="65">
        <v>0</v>
      </c>
    </row>
    <row r="76" spans="1:22" s="61" customFormat="1" hidden="1" x14ac:dyDescent="0.25">
      <c r="A76" s="62">
        <v>1288785</v>
      </c>
      <c r="B76" s="61" t="s">
        <v>445</v>
      </c>
      <c r="C76" s="63">
        <v>42971</v>
      </c>
      <c r="D76" s="63">
        <v>42978</v>
      </c>
      <c r="E76" s="61" t="s">
        <v>480</v>
      </c>
      <c r="F76" s="61" t="s">
        <v>447</v>
      </c>
      <c r="G76" s="61" t="s">
        <v>440</v>
      </c>
      <c r="H76" s="61" t="s">
        <v>441</v>
      </c>
      <c r="I76" s="61" t="s">
        <v>442</v>
      </c>
      <c r="J76" s="61" t="s">
        <v>443</v>
      </c>
      <c r="K76" s="61" t="s">
        <v>443</v>
      </c>
      <c r="L76" s="64">
        <v>0</v>
      </c>
      <c r="M76" s="64">
        <v>0</v>
      </c>
      <c r="N76" s="64">
        <v>28.173999999999999</v>
      </c>
      <c r="O76" s="61" t="s">
        <v>444</v>
      </c>
      <c r="P76" s="64">
        <v>23</v>
      </c>
      <c r="Q76" s="65">
        <v>909.76</v>
      </c>
      <c r="R76" s="65">
        <v>309.92</v>
      </c>
      <c r="S76" s="65">
        <v>0</v>
      </c>
      <c r="T76" s="65">
        <v>0</v>
      </c>
      <c r="U76" s="65">
        <v>1219.68</v>
      </c>
    </row>
    <row r="77" spans="1:22" s="61" customFormat="1" hidden="1" x14ac:dyDescent="0.25">
      <c r="A77" s="62">
        <v>1278128</v>
      </c>
      <c r="B77" s="61" t="s">
        <v>445</v>
      </c>
      <c r="C77" s="63">
        <v>42927</v>
      </c>
      <c r="D77" s="63">
        <v>42927</v>
      </c>
      <c r="E77" s="61" t="s">
        <v>446</v>
      </c>
      <c r="F77" s="61" t="s">
        <v>452</v>
      </c>
      <c r="G77" s="61" t="s">
        <v>440</v>
      </c>
      <c r="H77" s="61" t="s">
        <v>441</v>
      </c>
      <c r="I77" s="61" t="s">
        <v>442</v>
      </c>
      <c r="J77" s="61" t="s">
        <v>443</v>
      </c>
      <c r="K77" s="61" t="s">
        <v>443</v>
      </c>
      <c r="L77" s="64">
        <v>0</v>
      </c>
      <c r="M77" s="64">
        <v>0</v>
      </c>
      <c r="N77" s="64">
        <v>28.173999999999999</v>
      </c>
      <c r="O77" s="61" t="s">
        <v>444</v>
      </c>
      <c r="P77" s="64">
        <v>9</v>
      </c>
      <c r="Q77" s="65">
        <v>128.32</v>
      </c>
      <c r="R77" s="65">
        <v>19.37</v>
      </c>
      <c r="S77" s="65">
        <v>0</v>
      </c>
      <c r="T77" s="65">
        <v>0</v>
      </c>
      <c r="U77" s="65">
        <v>147.69</v>
      </c>
    </row>
    <row r="78" spans="1:22" s="61" customFormat="1" hidden="1" x14ac:dyDescent="0.25">
      <c r="A78" s="62">
        <v>1235193</v>
      </c>
      <c r="B78" s="61" t="s">
        <v>437</v>
      </c>
      <c r="C78" s="63">
        <v>42837</v>
      </c>
      <c r="D78" s="63">
        <v>42838</v>
      </c>
      <c r="E78" s="61" t="s">
        <v>450</v>
      </c>
      <c r="F78" s="61" t="s">
        <v>459</v>
      </c>
      <c r="G78" s="61" t="s">
        <v>467</v>
      </c>
      <c r="H78" s="61" t="s">
        <v>441</v>
      </c>
      <c r="I78" s="61" t="s">
        <v>442</v>
      </c>
      <c r="J78" s="61" t="s">
        <v>443</v>
      </c>
      <c r="K78" s="61" t="s">
        <v>443</v>
      </c>
      <c r="L78" s="64">
        <v>0</v>
      </c>
      <c r="M78" s="64">
        <v>29.643999999999998</v>
      </c>
      <c r="N78" s="64">
        <v>38.479999999999997</v>
      </c>
      <c r="O78" s="61" t="s">
        <v>444</v>
      </c>
      <c r="P78" s="64">
        <v>31</v>
      </c>
      <c r="Q78" s="65">
        <v>391.28</v>
      </c>
      <c r="R78" s="65">
        <v>73.34</v>
      </c>
      <c r="S78" s="65">
        <v>217.12</v>
      </c>
      <c r="T78" s="65">
        <v>0</v>
      </c>
      <c r="U78" s="65">
        <v>681.74</v>
      </c>
    </row>
    <row r="79" spans="1:22" s="61" customFormat="1" hidden="1" x14ac:dyDescent="0.25">
      <c r="A79" s="62">
        <v>1235189</v>
      </c>
      <c r="B79" s="61" t="s">
        <v>437</v>
      </c>
      <c r="C79" s="63">
        <v>42837</v>
      </c>
      <c r="D79" s="63">
        <v>42842</v>
      </c>
      <c r="E79" s="61" t="s">
        <v>450</v>
      </c>
      <c r="F79" s="61" t="s">
        <v>481</v>
      </c>
      <c r="G79" s="61" t="s">
        <v>467</v>
      </c>
      <c r="H79" s="61" t="s">
        <v>441</v>
      </c>
      <c r="I79" s="61" t="s">
        <v>442</v>
      </c>
      <c r="J79" s="61" t="s">
        <v>443</v>
      </c>
      <c r="K79" s="61" t="s">
        <v>443</v>
      </c>
      <c r="L79" s="64">
        <v>0</v>
      </c>
      <c r="M79" s="64">
        <v>29.643999999999998</v>
      </c>
      <c r="N79" s="64">
        <v>38.479999999999997</v>
      </c>
      <c r="O79" s="61" t="s">
        <v>444</v>
      </c>
      <c r="P79" s="64">
        <v>10</v>
      </c>
      <c r="Q79" s="65">
        <v>391.28</v>
      </c>
      <c r="R79" s="65">
        <v>125.74</v>
      </c>
      <c r="S79" s="65">
        <v>343.98</v>
      </c>
      <c r="T79" s="65">
        <v>129.88</v>
      </c>
      <c r="U79" s="65">
        <v>990.88</v>
      </c>
    </row>
    <row r="80" spans="1:22" s="61" customFormat="1" hidden="1" x14ac:dyDescent="0.25">
      <c r="A80" s="62">
        <v>1232036</v>
      </c>
      <c r="B80" s="61" t="s">
        <v>437</v>
      </c>
      <c r="C80" s="63">
        <v>42824</v>
      </c>
      <c r="D80" s="63">
        <v>42846</v>
      </c>
      <c r="E80" s="61" t="s">
        <v>450</v>
      </c>
      <c r="F80" s="61" t="s">
        <v>456</v>
      </c>
      <c r="G80" s="61" t="s">
        <v>467</v>
      </c>
      <c r="H80" s="61" t="s">
        <v>441</v>
      </c>
      <c r="I80" s="61" t="s">
        <v>442</v>
      </c>
      <c r="J80" s="61" t="s">
        <v>443</v>
      </c>
      <c r="K80" s="61" t="s">
        <v>443</v>
      </c>
      <c r="L80" s="64">
        <v>0</v>
      </c>
      <c r="M80" s="64">
        <v>29.643999999999998</v>
      </c>
      <c r="N80" s="64">
        <v>38.479999999999997</v>
      </c>
      <c r="O80" s="61" t="s">
        <v>444</v>
      </c>
      <c r="P80" s="64">
        <v>2750</v>
      </c>
      <c r="Q80" s="65">
        <v>6024.9</v>
      </c>
      <c r="R80" s="65">
        <v>5261.16</v>
      </c>
      <c r="S80" s="65">
        <v>0</v>
      </c>
      <c r="T80" s="65">
        <v>276.44</v>
      </c>
      <c r="U80" s="65">
        <v>11562.5</v>
      </c>
    </row>
    <row r="81" spans="1:21" s="61" customFormat="1" hidden="1" x14ac:dyDescent="0.25">
      <c r="A81" s="62">
        <v>1231726</v>
      </c>
      <c r="B81" s="61" t="s">
        <v>445</v>
      </c>
      <c r="C81" s="63">
        <v>42822</v>
      </c>
      <c r="D81" s="63">
        <v>42822</v>
      </c>
      <c r="E81" s="61" t="s">
        <v>446</v>
      </c>
      <c r="F81" s="61" t="s">
        <v>452</v>
      </c>
      <c r="G81" s="61" t="s">
        <v>467</v>
      </c>
      <c r="H81" s="61" t="s">
        <v>441</v>
      </c>
      <c r="I81" s="61" t="s">
        <v>442</v>
      </c>
      <c r="J81" s="61" t="s">
        <v>443</v>
      </c>
      <c r="K81" s="61" t="s">
        <v>443</v>
      </c>
      <c r="L81" s="64">
        <v>0</v>
      </c>
      <c r="M81" s="64">
        <v>29.643999999999998</v>
      </c>
      <c r="N81" s="64">
        <v>38.479999999999997</v>
      </c>
      <c r="O81" s="61" t="s">
        <v>444</v>
      </c>
      <c r="P81" s="64">
        <v>21</v>
      </c>
      <c r="Q81" s="65">
        <v>196.08</v>
      </c>
      <c r="R81" s="65">
        <v>58.11</v>
      </c>
      <c r="S81" s="65">
        <v>0</v>
      </c>
      <c r="T81" s="65">
        <v>0</v>
      </c>
      <c r="U81" s="65">
        <v>254.19</v>
      </c>
    </row>
    <row r="82" spans="1:21" s="61" customFormat="1" hidden="1" x14ac:dyDescent="0.25">
      <c r="A82" s="62">
        <v>1230878</v>
      </c>
      <c r="B82" s="61" t="s">
        <v>437</v>
      </c>
      <c r="C82" s="63">
        <v>42818</v>
      </c>
      <c r="D82" s="63">
        <v>42818</v>
      </c>
      <c r="E82" s="61" t="s">
        <v>450</v>
      </c>
      <c r="F82" s="61" t="s">
        <v>462</v>
      </c>
      <c r="G82" s="61" t="s">
        <v>440</v>
      </c>
      <c r="H82" s="61" t="s">
        <v>441</v>
      </c>
      <c r="I82" s="61" t="s">
        <v>442</v>
      </c>
      <c r="J82" s="61" t="s">
        <v>443</v>
      </c>
      <c r="K82" s="61" t="s">
        <v>443</v>
      </c>
      <c r="L82" s="64">
        <v>0</v>
      </c>
      <c r="M82" s="64">
        <v>0</v>
      </c>
      <c r="N82" s="64">
        <v>28.173999999999999</v>
      </c>
      <c r="O82" s="61" t="s">
        <v>444</v>
      </c>
      <c r="P82" s="64">
        <v>1</v>
      </c>
      <c r="Q82" s="65">
        <v>539.20000000000005</v>
      </c>
      <c r="R82" s="65">
        <v>432.52</v>
      </c>
      <c r="S82" s="65">
        <v>138.19</v>
      </c>
      <c r="T82" s="65">
        <v>0</v>
      </c>
      <c r="U82" s="65">
        <v>1109.9100000000001</v>
      </c>
    </row>
    <row r="83" spans="1:21" s="61" customFormat="1" hidden="1" x14ac:dyDescent="0.25">
      <c r="A83" s="62">
        <v>1230836</v>
      </c>
      <c r="B83" s="61" t="s">
        <v>437</v>
      </c>
      <c r="C83" s="63">
        <v>42818</v>
      </c>
      <c r="D83" s="63">
        <v>42828</v>
      </c>
      <c r="E83" s="61" t="s">
        <v>450</v>
      </c>
      <c r="F83" s="61" t="s">
        <v>456</v>
      </c>
      <c r="G83" s="61" t="s">
        <v>440</v>
      </c>
      <c r="H83" s="61" t="s">
        <v>441</v>
      </c>
      <c r="I83" s="61" t="s">
        <v>442</v>
      </c>
      <c r="J83" s="61" t="s">
        <v>443</v>
      </c>
      <c r="K83" s="61" t="s">
        <v>443</v>
      </c>
      <c r="L83" s="64">
        <v>0</v>
      </c>
      <c r="M83" s="64">
        <v>0</v>
      </c>
      <c r="N83" s="64">
        <v>28.173999999999999</v>
      </c>
      <c r="O83" s="61" t="s">
        <v>444</v>
      </c>
      <c r="P83" s="64">
        <v>300</v>
      </c>
      <c r="Q83" s="65">
        <v>1778.06</v>
      </c>
      <c r="R83" s="65">
        <v>800.96</v>
      </c>
      <c r="S83" s="65">
        <v>2819.5</v>
      </c>
      <c r="T83" s="65">
        <v>0</v>
      </c>
      <c r="U83" s="65">
        <v>5398.52</v>
      </c>
    </row>
    <row r="84" spans="1:21" s="61" customFormat="1" hidden="1" x14ac:dyDescent="0.25">
      <c r="A84" s="62">
        <v>1230643</v>
      </c>
      <c r="B84" s="61" t="s">
        <v>437</v>
      </c>
      <c r="C84" s="63">
        <v>42817</v>
      </c>
      <c r="D84" s="63">
        <v>42822</v>
      </c>
      <c r="E84" s="61" t="s">
        <v>450</v>
      </c>
      <c r="F84" s="61" t="s">
        <v>456</v>
      </c>
      <c r="G84" s="61" t="s">
        <v>440</v>
      </c>
      <c r="H84" s="61" t="s">
        <v>441</v>
      </c>
      <c r="I84" s="61" t="s">
        <v>442</v>
      </c>
      <c r="J84" s="61" t="s">
        <v>443</v>
      </c>
      <c r="K84" s="61" t="s">
        <v>443</v>
      </c>
      <c r="L84" s="64">
        <v>0</v>
      </c>
      <c r="M84" s="64">
        <v>0</v>
      </c>
      <c r="N84" s="64">
        <v>28.173999999999999</v>
      </c>
      <c r="O84" s="61" t="s">
        <v>444</v>
      </c>
      <c r="P84" s="64">
        <v>300</v>
      </c>
      <c r="Q84" s="65">
        <v>1473.86</v>
      </c>
      <c r="R84" s="65">
        <v>709.97</v>
      </c>
      <c r="S84" s="65">
        <v>1049.06</v>
      </c>
      <c r="T84" s="65">
        <v>0</v>
      </c>
      <c r="U84" s="65">
        <v>3232.89</v>
      </c>
    </row>
    <row r="85" spans="1:21" s="61" customFormat="1" hidden="1" x14ac:dyDescent="0.25">
      <c r="A85" s="62">
        <v>1228898</v>
      </c>
      <c r="B85" s="61" t="s">
        <v>445</v>
      </c>
      <c r="C85" s="63">
        <v>42808</v>
      </c>
      <c r="D85" s="63">
        <v>42808</v>
      </c>
      <c r="E85" s="61" t="s">
        <v>446</v>
      </c>
      <c r="F85" s="61" t="s">
        <v>452</v>
      </c>
      <c r="G85" s="61" t="s">
        <v>467</v>
      </c>
      <c r="H85" s="61" t="s">
        <v>441</v>
      </c>
      <c r="I85" s="61" t="s">
        <v>442</v>
      </c>
      <c r="J85" s="61" t="s">
        <v>443</v>
      </c>
      <c r="K85" s="61" t="s">
        <v>443</v>
      </c>
      <c r="L85" s="64">
        <v>0</v>
      </c>
      <c r="M85" s="64">
        <v>29.643999999999998</v>
      </c>
      <c r="N85" s="64">
        <v>38.479999999999997</v>
      </c>
      <c r="O85" s="61" t="s">
        <v>444</v>
      </c>
      <c r="P85" s="64">
        <v>6.25</v>
      </c>
      <c r="Q85" s="65">
        <v>65.36</v>
      </c>
      <c r="R85" s="65">
        <v>35.54</v>
      </c>
      <c r="S85" s="65">
        <v>0</v>
      </c>
      <c r="T85" s="65">
        <v>0</v>
      </c>
      <c r="U85" s="65">
        <v>100.9</v>
      </c>
    </row>
    <row r="86" spans="1:21" s="61" customFormat="1" hidden="1" x14ac:dyDescent="0.25">
      <c r="A86" s="62">
        <v>1225758</v>
      </c>
      <c r="B86" s="61" t="s">
        <v>445</v>
      </c>
      <c r="C86" s="63">
        <v>42794</v>
      </c>
      <c r="D86" s="63">
        <v>42794</v>
      </c>
      <c r="E86" s="61" t="s">
        <v>482</v>
      </c>
      <c r="F86" s="61" t="s">
        <v>452</v>
      </c>
      <c r="G86" s="61" t="s">
        <v>440</v>
      </c>
      <c r="H86" s="61" t="s">
        <v>441</v>
      </c>
      <c r="I86" s="61" t="s">
        <v>442</v>
      </c>
      <c r="J86" s="61" t="s">
        <v>443</v>
      </c>
      <c r="K86" s="61" t="s">
        <v>443</v>
      </c>
      <c r="L86" s="64">
        <v>0</v>
      </c>
      <c r="M86" s="64">
        <v>0</v>
      </c>
      <c r="N86" s="64">
        <v>28.173999999999999</v>
      </c>
      <c r="O86" s="61" t="s">
        <v>444</v>
      </c>
      <c r="P86" s="64">
        <v>74</v>
      </c>
      <c r="Q86" s="65">
        <v>392.16</v>
      </c>
      <c r="R86" s="65">
        <v>106.62</v>
      </c>
      <c r="S86" s="65">
        <v>0</v>
      </c>
      <c r="T86" s="65">
        <v>0</v>
      </c>
      <c r="U86" s="65">
        <v>498.78</v>
      </c>
    </row>
    <row r="87" spans="1:21" s="61" customFormat="1" hidden="1" x14ac:dyDescent="0.25">
      <c r="A87" s="62">
        <v>1224660</v>
      </c>
      <c r="B87" s="61" t="s">
        <v>445</v>
      </c>
      <c r="C87" s="63">
        <v>42789</v>
      </c>
      <c r="D87" s="63">
        <v>42789</v>
      </c>
      <c r="E87" s="61" t="s">
        <v>482</v>
      </c>
      <c r="F87" s="61" t="s">
        <v>452</v>
      </c>
      <c r="G87" s="61" t="s">
        <v>467</v>
      </c>
      <c r="H87" s="61" t="s">
        <v>441</v>
      </c>
      <c r="I87" s="61" t="s">
        <v>442</v>
      </c>
      <c r="J87" s="61" t="s">
        <v>443</v>
      </c>
      <c r="K87" s="61" t="s">
        <v>443</v>
      </c>
      <c r="L87" s="64">
        <v>0</v>
      </c>
      <c r="M87" s="64">
        <v>29.643999999999998</v>
      </c>
      <c r="N87" s="64">
        <v>38.479999999999997</v>
      </c>
      <c r="O87" s="61" t="s">
        <v>444</v>
      </c>
      <c r="P87" s="64">
        <v>10</v>
      </c>
      <c r="Q87" s="65">
        <v>65.36</v>
      </c>
      <c r="R87" s="65">
        <v>17.77</v>
      </c>
      <c r="S87" s="65">
        <v>0</v>
      </c>
      <c r="T87" s="65">
        <v>0</v>
      </c>
      <c r="U87" s="65">
        <v>83.13</v>
      </c>
    </row>
    <row r="88" spans="1:21" s="61" customFormat="1" hidden="1" x14ac:dyDescent="0.25">
      <c r="A88" s="62">
        <v>1224658</v>
      </c>
      <c r="B88" s="61" t="s">
        <v>445</v>
      </c>
      <c r="C88" s="63">
        <v>42789</v>
      </c>
      <c r="D88" s="63">
        <v>42789</v>
      </c>
      <c r="E88" s="61" t="s">
        <v>482</v>
      </c>
      <c r="F88" s="61" t="s">
        <v>452</v>
      </c>
      <c r="G88" s="61" t="s">
        <v>467</v>
      </c>
      <c r="H88" s="61" t="s">
        <v>441</v>
      </c>
      <c r="I88" s="61" t="s">
        <v>442</v>
      </c>
      <c r="J88" s="61" t="s">
        <v>443</v>
      </c>
      <c r="K88" s="61" t="s">
        <v>443</v>
      </c>
      <c r="L88" s="64">
        <v>0</v>
      </c>
      <c r="M88" s="64">
        <v>29.643999999999998</v>
      </c>
      <c r="N88" s="64">
        <v>38.479999999999997</v>
      </c>
      <c r="O88" s="61" t="s">
        <v>444</v>
      </c>
      <c r="P88" s="64">
        <v>36</v>
      </c>
      <c r="Q88" s="65">
        <v>326.8</v>
      </c>
      <c r="R88" s="65">
        <v>88.85</v>
      </c>
      <c r="S88" s="65">
        <v>0</v>
      </c>
      <c r="T88" s="65">
        <v>0</v>
      </c>
      <c r="U88" s="65">
        <v>415.65</v>
      </c>
    </row>
    <row r="89" spans="1:21" s="61" customFormat="1" hidden="1" x14ac:dyDescent="0.25">
      <c r="A89" s="62">
        <v>1224215</v>
      </c>
      <c r="B89" s="61" t="s">
        <v>445</v>
      </c>
      <c r="C89" s="63">
        <v>42787</v>
      </c>
      <c r="D89" s="63">
        <v>42787</v>
      </c>
      <c r="E89" s="61" t="s">
        <v>482</v>
      </c>
      <c r="F89" s="61" t="s">
        <v>439</v>
      </c>
      <c r="G89" s="61" t="s">
        <v>467</v>
      </c>
      <c r="H89" s="61" t="s">
        <v>441</v>
      </c>
      <c r="I89" s="61" t="s">
        <v>442</v>
      </c>
      <c r="J89" s="61" t="s">
        <v>443</v>
      </c>
      <c r="K89" s="61" t="s">
        <v>443</v>
      </c>
      <c r="L89" s="64">
        <v>0</v>
      </c>
      <c r="M89" s="64">
        <v>29.643999999999998</v>
      </c>
      <c r="N89" s="64">
        <v>38.479999999999997</v>
      </c>
      <c r="O89" s="61" t="s">
        <v>444</v>
      </c>
      <c r="P89" s="64">
        <v>0</v>
      </c>
      <c r="Q89" s="65">
        <v>0</v>
      </c>
      <c r="R89" s="65">
        <v>0</v>
      </c>
      <c r="S89" s="65">
        <v>0</v>
      </c>
      <c r="T89" s="65">
        <v>0</v>
      </c>
      <c r="U89" s="65">
        <v>0</v>
      </c>
    </row>
    <row r="90" spans="1:21" s="61" customFormat="1" hidden="1" x14ac:dyDescent="0.25">
      <c r="A90" s="62">
        <v>1224207</v>
      </c>
      <c r="B90" s="61" t="s">
        <v>445</v>
      </c>
      <c r="C90" s="63">
        <v>42786</v>
      </c>
      <c r="D90" s="63">
        <v>42786</v>
      </c>
      <c r="E90" s="61" t="s">
        <v>482</v>
      </c>
      <c r="F90" s="61" t="s">
        <v>452</v>
      </c>
      <c r="G90" s="61" t="s">
        <v>467</v>
      </c>
      <c r="H90" s="61" t="s">
        <v>441</v>
      </c>
      <c r="I90" s="61" t="s">
        <v>442</v>
      </c>
      <c r="J90" s="61" t="s">
        <v>443</v>
      </c>
      <c r="K90" s="61" t="s">
        <v>443</v>
      </c>
      <c r="L90" s="64">
        <v>0</v>
      </c>
      <c r="M90" s="64">
        <v>29.643999999999998</v>
      </c>
      <c r="N90" s="64">
        <v>38.479999999999997</v>
      </c>
      <c r="O90" s="61" t="s">
        <v>444</v>
      </c>
      <c r="P90" s="64">
        <v>116.5</v>
      </c>
      <c r="Q90" s="65">
        <v>522.88</v>
      </c>
      <c r="R90" s="65">
        <v>142.16</v>
      </c>
      <c r="S90" s="65">
        <v>0</v>
      </c>
      <c r="T90" s="65">
        <v>0</v>
      </c>
      <c r="U90" s="65">
        <v>665.04</v>
      </c>
    </row>
    <row r="91" spans="1:21" s="61" customFormat="1" hidden="1" x14ac:dyDescent="0.25">
      <c r="A91" s="62">
        <v>1219702</v>
      </c>
      <c r="B91" s="61" t="s">
        <v>445</v>
      </c>
      <c r="C91" s="63">
        <v>42766</v>
      </c>
      <c r="D91" s="63">
        <v>42766</v>
      </c>
      <c r="E91" s="61" t="s">
        <v>446</v>
      </c>
      <c r="F91" s="61" t="s">
        <v>452</v>
      </c>
      <c r="G91" s="61" t="s">
        <v>440</v>
      </c>
      <c r="H91" s="61" t="s">
        <v>441</v>
      </c>
      <c r="I91" s="61" t="s">
        <v>442</v>
      </c>
      <c r="J91" s="61" t="s">
        <v>443</v>
      </c>
      <c r="K91" s="61" t="s">
        <v>443</v>
      </c>
      <c r="L91" s="64">
        <v>0</v>
      </c>
      <c r="M91" s="64">
        <v>0</v>
      </c>
      <c r="N91" s="64">
        <v>28.173999999999999</v>
      </c>
      <c r="O91" s="61" t="s">
        <v>444</v>
      </c>
      <c r="P91" s="64">
        <v>34.75</v>
      </c>
      <c r="Q91" s="65">
        <v>196.08</v>
      </c>
      <c r="R91" s="65">
        <v>53.31</v>
      </c>
      <c r="S91" s="65">
        <v>0</v>
      </c>
      <c r="T91" s="65">
        <v>0</v>
      </c>
      <c r="U91" s="65">
        <v>249.39</v>
      </c>
    </row>
    <row r="92" spans="1:21" s="61" customFormat="1" hidden="1" x14ac:dyDescent="0.25">
      <c r="A92" s="62">
        <v>1218839</v>
      </c>
      <c r="B92" s="61" t="s">
        <v>445</v>
      </c>
      <c r="C92" s="63">
        <v>42761</v>
      </c>
      <c r="D92" s="63">
        <v>42761</v>
      </c>
      <c r="E92" s="61" t="s">
        <v>446</v>
      </c>
      <c r="F92" s="61" t="s">
        <v>452</v>
      </c>
      <c r="G92" s="61" t="s">
        <v>440</v>
      </c>
      <c r="H92" s="61" t="s">
        <v>441</v>
      </c>
      <c r="I92" s="61" t="s">
        <v>442</v>
      </c>
      <c r="J92" s="61" t="s">
        <v>443</v>
      </c>
      <c r="K92" s="61" t="s">
        <v>443</v>
      </c>
      <c r="L92" s="64">
        <v>0</v>
      </c>
      <c r="M92" s="64">
        <v>0</v>
      </c>
      <c r="N92" s="64">
        <v>28.173999999999999</v>
      </c>
      <c r="O92" s="61" t="s">
        <v>444</v>
      </c>
      <c r="P92" s="64">
        <v>55</v>
      </c>
      <c r="Q92" s="65">
        <v>392.16</v>
      </c>
      <c r="R92" s="65">
        <v>106.62</v>
      </c>
      <c r="S92" s="65">
        <v>0</v>
      </c>
      <c r="T92" s="65">
        <v>0</v>
      </c>
      <c r="U92" s="65">
        <v>498.78</v>
      </c>
    </row>
    <row r="93" spans="1:21" s="61" customFormat="1" hidden="1" x14ac:dyDescent="0.25">
      <c r="A93" s="62">
        <v>1210716</v>
      </c>
      <c r="B93" s="61" t="s">
        <v>445</v>
      </c>
      <c r="C93" s="63">
        <v>42696</v>
      </c>
      <c r="D93" s="63">
        <v>42696</v>
      </c>
      <c r="E93" s="61" t="s">
        <v>446</v>
      </c>
      <c r="F93" s="61" t="s">
        <v>452</v>
      </c>
      <c r="G93" s="61" t="s">
        <v>440</v>
      </c>
      <c r="H93" s="61" t="s">
        <v>441</v>
      </c>
      <c r="I93" s="61" t="s">
        <v>442</v>
      </c>
      <c r="J93" s="61" t="s">
        <v>443</v>
      </c>
      <c r="K93" s="61" t="s">
        <v>443</v>
      </c>
      <c r="L93" s="64">
        <v>0</v>
      </c>
      <c r="M93" s="64">
        <v>0</v>
      </c>
      <c r="N93" s="64">
        <v>28.173999999999999</v>
      </c>
      <c r="O93" s="61" t="s">
        <v>444</v>
      </c>
      <c r="P93" s="64">
        <v>6.25</v>
      </c>
      <c r="Q93" s="65">
        <v>118.16</v>
      </c>
      <c r="R93" s="65">
        <v>36.700000000000003</v>
      </c>
      <c r="S93" s="65">
        <v>0</v>
      </c>
      <c r="T93" s="65">
        <v>0</v>
      </c>
      <c r="U93" s="65">
        <v>154.86000000000001</v>
      </c>
    </row>
    <row r="94" spans="1:21" s="61" customFormat="1" hidden="1" x14ac:dyDescent="0.25">
      <c r="A94" s="62">
        <v>1203412</v>
      </c>
      <c r="B94" s="61" t="s">
        <v>445</v>
      </c>
      <c r="C94" s="63">
        <v>42649</v>
      </c>
      <c r="D94" s="63">
        <v>42649</v>
      </c>
      <c r="E94" s="61" t="s">
        <v>446</v>
      </c>
      <c r="F94" s="61" t="s">
        <v>452</v>
      </c>
      <c r="G94" s="61" t="s">
        <v>440</v>
      </c>
      <c r="H94" s="61" t="s">
        <v>441</v>
      </c>
      <c r="I94" s="61" t="s">
        <v>442</v>
      </c>
      <c r="J94" s="61" t="s">
        <v>443</v>
      </c>
      <c r="K94" s="61" t="s">
        <v>443</v>
      </c>
      <c r="L94" s="64">
        <v>0</v>
      </c>
      <c r="M94" s="64">
        <v>0</v>
      </c>
      <c r="N94" s="64">
        <v>28.173999999999999</v>
      </c>
      <c r="O94" s="61" t="s">
        <v>444</v>
      </c>
      <c r="P94" s="64">
        <v>65.5</v>
      </c>
      <c r="Q94" s="65">
        <v>432</v>
      </c>
      <c r="R94" s="65">
        <v>142.16</v>
      </c>
      <c r="S94" s="65">
        <v>0</v>
      </c>
      <c r="T94" s="65">
        <v>0</v>
      </c>
      <c r="U94" s="65">
        <v>574.16</v>
      </c>
    </row>
    <row r="95" spans="1:21" s="61" customFormat="1" hidden="1" x14ac:dyDescent="0.25">
      <c r="A95" s="62">
        <v>1201231</v>
      </c>
      <c r="B95" s="61" t="s">
        <v>445</v>
      </c>
      <c r="C95" s="63">
        <v>42640</v>
      </c>
      <c r="D95" s="63">
        <v>42640</v>
      </c>
      <c r="E95" s="61" t="s">
        <v>446</v>
      </c>
      <c r="F95" s="61" t="s">
        <v>452</v>
      </c>
      <c r="G95" s="61" t="s">
        <v>440</v>
      </c>
      <c r="H95" s="61" t="s">
        <v>441</v>
      </c>
      <c r="I95" s="61" t="s">
        <v>442</v>
      </c>
      <c r="J95" s="61" t="s">
        <v>443</v>
      </c>
      <c r="K95" s="61" t="s">
        <v>443</v>
      </c>
      <c r="L95" s="64">
        <v>0</v>
      </c>
      <c r="M95" s="64">
        <v>0</v>
      </c>
      <c r="N95" s="64">
        <v>28.173999999999999</v>
      </c>
      <c r="O95" s="61" t="s">
        <v>444</v>
      </c>
      <c r="P95" s="64">
        <v>21.5</v>
      </c>
      <c r="Q95" s="65">
        <v>162</v>
      </c>
      <c r="R95" s="65">
        <v>53.31</v>
      </c>
      <c r="S95" s="65">
        <v>0</v>
      </c>
      <c r="T95" s="65">
        <v>0</v>
      </c>
      <c r="U95" s="65">
        <v>215.31</v>
      </c>
    </row>
    <row r="96" spans="1:21" s="61" customFormat="1" hidden="1" x14ac:dyDescent="0.25">
      <c r="A96" s="62">
        <v>1200060</v>
      </c>
      <c r="B96" s="61" t="s">
        <v>445</v>
      </c>
      <c r="C96" s="63">
        <v>42634</v>
      </c>
      <c r="D96" s="63">
        <v>42634</v>
      </c>
      <c r="E96" s="61" t="s">
        <v>446</v>
      </c>
      <c r="F96" s="61" t="s">
        <v>476</v>
      </c>
      <c r="G96" s="61" t="s">
        <v>440</v>
      </c>
      <c r="H96" s="61" t="s">
        <v>441</v>
      </c>
      <c r="I96" s="61" t="s">
        <v>442</v>
      </c>
      <c r="J96" s="61" t="s">
        <v>443</v>
      </c>
      <c r="K96" s="61" t="s">
        <v>443</v>
      </c>
      <c r="L96" s="64">
        <v>0</v>
      </c>
      <c r="M96" s="64">
        <v>0</v>
      </c>
      <c r="N96" s="64">
        <v>28.173999999999999</v>
      </c>
      <c r="O96" s="61" t="s">
        <v>444</v>
      </c>
      <c r="P96" s="64">
        <v>35770</v>
      </c>
      <c r="Q96" s="65">
        <v>540</v>
      </c>
      <c r="R96" s="65">
        <v>832.8</v>
      </c>
      <c r="S96" s="65">
        <v>0</v>
      </c>
      <c r="T96" s="65">
        <v>0</v>
      </c>
      <c r="U96" s="65">
        <v>1372.8</v>
      </c>
    </row>
    <row r="97" spans="1:21" s="61" customFormat="1" hidden="1" x14ac:dyDescent="0.25">
      <c r="A97" s="62">
        <v>1199832</v>
      </c>
      <c r="B97" s="61" t="s">
        <v>445</v>
      </c>
      <c r="C97" s="63">
        <v>42633</v>
      </c>
      <c r="D97" s="63">
        <v>42633</v>
      </c>
      <c r="E97" s="61" t="s">
        <v>446</v>
      </c>
      <c r="F97" s="61" t="s">
        <v>476</v>
      </c>
      <c r="G97" s="61" t="s">
        <v>440</v>
      </c>
      <c r="H97" s="61" t="s">
        <v>441</v>
      </c>
      <c r="I97" s="61" t="s">
        <v>442</v>
      </c>
      <c r="J97" s="61" t="s">
        <v>443</v>
      </c>
      <c r="K97" s="61" t="s">
        <v>443</v>
      </c>
      <c r="L97" s="64">
        <v>0</v>
      </c>
      <c r="M97" s="64">
        <v>0</v>
      </c>
      <c r="N97" s="64">
        <v>28.173999999999999</v>
      </c>
      <c r="O97" s="61" t="s">
        <v>444</v>
      </c>
      <c r="P97" s="64">
        <v>103276</v>
      </c>
      <c r="Q97" s="65">
        <v>1350</v>
      </c>
      <c r="R97" s="65">
        <v>1665.6</v>
      </c>
      <c r="S97" s="65">
        <v>0</v>
      </c>
      <c r="T97" s="65">
        <v>0</v>
      </c>
      <c r="U97" s="65">
        <v>3015.6</v>
      </c>
    </row>
    <row r="98" spans="1:21" s="61" customFormat="1" hidden="1" x14ac:dyDescent="0.25">
      <c r="A98" s="62">
        <v>1197669</v>
      </c>
      <c r="B98" s="61" t="s">
        <v>437</v>
      </c>
      <c r="C98" s="63">
        <v>42625</v>
      </c>
      <c r="D98" s="63">
        <v>42626</v>
      </c>
      <c r="E98" s="61" t="s">
        <v>450</v>
      </c>
      <c r="F98" s="61" t="s">
        <v>483</v>
      </c>
      <c r="G98" s="61" t="s">
        <v>475</v>
      </c>
      <c r="H98" s="61" t="s">
        <v>441</v>
      </c>
      <c r="I98" s="61" t="s">
        <v>454</v>
      </c>
      <c r="J98" s="61" t="s">
        <v>443</v>
      </c>
      <c r="K98" s="61" t="s">
        <v>443</v>
      </c>
      <c r="L98" s="64">
        <v>0</v>
      </c>
      <c r="M98" s="64">
        <v>0</v>
      </c>
      <c r="N98" s="64">
        <v>3.4409999999999998</v>
      </c>
      <c r="O98" s="61" t="s">
        <v>444</v>
      </c>
      <c r="P98" s="64">
        <v>3300</v>
      </c>
      <c r="Q98" s="65">
        <v>1394.5</v>
      </c>
      <c r="R98" s="65">
        <v>237</v>
      </c>
      <c r="S98" s="65">
        <v>0</v>
      </c>
      <c r="T98" s="65">
        <v>0</v>
      </c>
      <c r="U98" s="65">
        <v>1631.5</v>
      </c>
    </row>
    <row r="99" spans="1:21" s="61" customFormat="1" hidden="1" x14ac:dyDescent="0.25">
      <c r="A99" s="62">
        <v>1194989</v>
      </c>
      <c r="B99" s="61" t="s">
        <v>437</v>
      </c>
      <c r="C99" s="63">
        <v>42611</v>
      </c>
      <c r="D99" s="63">
        <v>42611</v>
      </c>
      <c r="E99" s="61" t="s">
        <v>450</v>
      </c>
      <c r="F99" s="61" t="s">
        <v>483</v>
      </c>
      <c r="G99" s="61" t="s">
        <v>467</v>
      </c>
      <c r="H99" s="61" t="s">
        <v>441</v>
      </c>
      <c r="I99" s="61" t="s">
        <v>442</v>
      </c>
      <c r="J99" s="61" t="s">
        <v>443</v>
      </c>
      <c r="K99" s="61" t="s">
        <v>443</v>
      </c>
      <c r="L99" s="64">
        <v>0</v>
      </c>
      <c r="M99" s="64">
        <v>29.643999999999998</v>
      </c>
      <c r="N99" s="64">
        <v>38.479999999999997</v>
      </c>
      <c r="O99" s="61" t="s">
        <v>444</v>
      </c>
      <c r="P99" s="64">
        <v>2000</v>
      </c>
      <c r="Q99" s="65">
        <v>1003.92</v>
      </c>
      <c r="R99" s="65">
        <v>120.3</v>
      </c>
      <c r="S99" s="65">
        <v>0</v>
      </c>
      <c r="T99" s="65">
        <v>0</v>
      </c>
      <c r="U99" s="65">
        <v>1124.22</v>
      </c>
    </row>
    <row r="100" spans="1:21" s="61" customFormat="1" hidden="1" x14ac:dyDescent="0.25">
      <c r="A100" s="62">
        <v>1194135</v>
      </c>
      <c r="B100" s="61" t="s">
        <v>445</v>
      </c>
      <c r="C100" s="63">
        <v>42606</v>
      </c>
      <c r="D100" s="63">
        <v>42606</v>
      </c>
      <c r="E100" s="61" t="s">
        <v>446</v>
      </c>
      <c r="F100" s="61" t="s">
        <v>452</v>
      </c>
      <c r="G100" s="61" t="s">
        <v>467</v>
      </c>
      <c r="H100" s="61" t="s">
        <v>441</v>
      </c>
      <c r="I100" s="61" t="s">
        <v>442</v>
      </c>
      <c r="J100" s="61" t="s">
        <v>443</v>
      </c>
      <c r="K100" s="61" t="s">
        <v>443</v>
      </c>
      <c r="L100" s="64">
        <v>0</v>
      </c>
      <c r="M100" s="64">
        <v>29.643999999999998</v>
      </c>
      <c r="N100" s="64">
        <v>38.479999999999997</v>
      </c>
      <c r="O100" s="61" t="s">
        <v>444</v>
      </c>
      <c r="P100" s="64">
        <v>9</v>
      </c>
      <c r="Q100" s="65">
        <v>54</v>
      </c>
      <c r="R100" s="65">
        <v>17.77</v>
      </c>
      <c r="S100" s="65">
        <v>0</v>
      </c>
      <c r="T100" s="65">
        <v>0</v>
      </c>
      <c r="U100" s="65">
        <v>71.77</v>
      </c>
    </row>
    <row r="101" spans="1:21" s="61" customFormat="1" hidden="1" x14ac:dyDescent="0.25">
      <c r="A101" s="62">
        <v>1193913</v>
      </c>
      <c r="B101" s="61" t="s">
        <v>437</v>
      </c>
      <c r="C101" s="63">
        <v>42606</v>
      </c>
      <c r="D101" s="63">
        <v>42606</v>
      </c>
      <c r="E101" s="61" t="s">
        <v>450</v>
      </c>
      <c r="F101" s="61" t="s">
        <v>483</v>
      </c>
      <c r="G101" s="61" t="s">
        <v>475</v>
      </c>
      <c r="H101" s="61" t="s">
        <v>441</v>
      </c>
      <c r="I101" s="61" t="s">
        <v>454</v>
      </c>
      <c r="J101" s="61" t="s">
        <v>443</v>
      </c>
      <c r="K101" s="61" t="s">
        <v>443</v>
      </c>
      <c r="L101" s="64">
        <v>0</v>
      </c>
      <c r="M101" s="64">
        <v>0</v>
      </c>
      <c r="N101" s="64">
        <v>3.4409999999999998</v>
      </c>
      <c r="O101" s="61" t="s">
        <v>444</v>
      </c>
      <c r="P101" s="64">
        <v>1800</v>
      </c>
      <c r="Q101" s="65">
        <v>727.64</v>
      </c>
      <c r="R101" s="65">
        <v>143.04</v>
      </c>
      <c r="S101" s="65">
        <v>0</v>
      </c>
      <c r="T101" s="65">
        <v>0</v>
      </c>
      <c r="U101" s="65">
        <v>870.68</v>
      </c>
    </row>
    <row r="102" spans="1:21" s="61" customFormat="1" hidden="1" x14ac:dyDescent="0.25">
      <c r="A102" s="62">
        <v>1184099</v>
      </c>
      <c r="B102" s="61" t="s">
        <v>437</v>
      </c>
      <c r="C102" s="63">
        <v>42565</v>
      </c>
      <c r="D102" s="63">
        <v>42566</v>
      </c>
      <c r="E102" s="61" t="s">
        <v>450</v>
      </c>
      <c r="F102" s="61" t="s">
        <v>469</v>
      </c>
      <c r="G102" s="61" t="s">
        <v>467</v>
      </c>
      <c r="H102" s="61" t="s">
        <v>441</v>
      </c>
      <c r="I102" s="61" t="s">
        <v>442</v>
      </c>
      <c r="J102" s="61" t="s">
        <v>443</v>
      </c>
      <c r="K102" s="61" t="s">
        <v>443</v>
      </c>
      <c r="L102" s="64">
        <v>0</v>
      </c>
      <c r="M102" s="64">
        <v>29.643999999999998</v>
      </c>
      <c r="N102" s="64">
        <v>38.479999999999997</v>
      </c>
      <c r="O102" s="61" t="s">
        <v>444</v>
      </c>
      <c r="P102" s="64">
        <v>0.1</v>
      </c>
      <c r="Q102" s="65">
        <v>1459.44</v>
      </c>
      <c r="R102" s="65">
        <v>948.72</v>
      </c>
      <c r="S102" s="65">
        <v>0</v>
      </c>
      <c r="T102" s="65">
        <v>0</v>
      </c>
      <c r="U102" s="65">
        <v>2408.16</v>
      </c>
    </row>
    <row r="103" spans="1:21" s="61" customFormat="1" hidden="1" x14ac:dyDescent="0.25">
      <c r="A103" s="62">
        <v>1183334</v>
      </c>
      <c r="B103" s="61" t="s">
        <v>437</v>
      </c>
      <c r="C103" s="63">
        <v>42563</v>
      </c>
      <c r="D103" s="63">
        <v>42564</v>
      </c>
      <c r="E103" s="61" t="s">
        <v>450</v>
      </c>
      <c r="F103" s="61" t="s">
        <v>468</v>
      </c>
      <c r="G103" s="61" t="s">
        <v>440</v>
      </c>
      <c r="H103" s="61" t="s">
        <v>441</v>
      </c>
      <c r="I103" s="61" t="s">
        <v>442</v>
      </c>
      <c r="J103" s="61" t="s">
        <v>443</v>
      </c>
      <c r="K103" s="61" t="s">
        <v>443</v>
      </c>
      <c r="L103" s="64">
        <v>0</v>
      </c>
      <c r="M103" s="64">
        <v>0</v>
      </c>
      <c r="N103" s="64">
        <v>28.173999999999999</v>
      </c>
      <c r="O103" s="61" t="s">
        <v>444</v>
      </c>
      <c r="P103" s="64">
        <v>56.84</v>
      </c>
      <c r="Q103" s="65">
        <v>6089.71</v>
      </c>
      <c r="R103" s="65">
        <v>2812.74</v>
      </c>
      <c r="S103" s="65">
        <v>0</v>
      </c>
      <c r="T103" s="65">
        <v>0</v>
      </c>
      <c r="U103" s="65">
        <v>8902.4500000000007</v>
      </c>
    </row>
    <row r="104" spans="1:21" s="61" customFormat="1" hidden="1" x14ac:dyDescent="0.25">
      <c r="A104" s="62">
        <v>1180343</v>
      </c>
      <c r="B104" s="61" t="s">
        <v>437</v>
      </c>
      <c r="C104" s="63">
        <v>42548</v>
      </c>
      <c r="D104" s="63">
        <v>42551</v>
      </c>
      <c r="E104" s="61" t="s">
        <v>484</v>
      </c>
      <c r="F104" s="61" t="s">
        <v>451</v>
      </c>
      <c r="G104" s="61" t="s">
        <v>440</v>
      </c>
      <c r="H104" s="61" t="s">
        <v>441</v>
      </c>
      <c r="I104" s="61" t="s">
        <v>442</v>
      </c>
      <c r="J104" s="61" t="s">
        <v>443</v>
      </c>
      <c r="K104" s="61" t="s">
        <v>443</v>
      </c>
      <c r="L104" s="64">
        <v>0</v>
      </c>
      <c r="M104" s="64">
        <v>0</v>
      </c>
      <c r="N104" s="64">
        <v>28.173999999999999</v>
      </c>
      <c r="O104" s="61" t="s">
        <v>444</v>
      </c>
      <c r="P104" s="64">
        <v>9</v>
      </c>
      <c r="Q104" s="65">
        <v>1638.44</v>
      </c>
      <c r="R104" s="65">
        <v>339.92</v>
      </c>
      <c r="S104" s="65">
        <v>0</v>
      </c>
      <c r="T104" s="65">
        <v>0</v>
      </c>
      <c r="U104" s="65">
        <v>1978.36</v>
      </c>
    </row>
    <row r="105" spans="1:21" s="61" customFormat="1" hidden="1" x14ac:dyDescent="0.25">
      <c r="A105" s="62">
        <v>1180093</v>
      </c>
      <c r="B105" s="61" t="s">
        <v>445</v>
      </c>
      <c r="C105" s="63">
        <v>42549</v>
      </c>
      <c r="D105" s="63">
        <v>42549</v>
      </c>
      <c r="E105" s="61" t="s">
        <v>482</v>
      </c>
      <c r="F105" s="61" t="s">
        <v>452</v>
      </c>
      <c r="G105" s="61" t="s">
        <v>440</v>
      </c>
      <c r="H105" s="61" t="s">
        <v>441</v>
      </c>
      <c r="I105" s="61" t="s">
        <v>442</v>
      </c>
      <c r="J105" s="61" t="s">
        <v>443</v>
      </c>
      <c r="K105" s="61" t="s">
        <v>443</v>
      </c>
      <c r="L105" s="64">
        <v>0</v>
      </c>
      <c r="M105" s="64">
        <v>0</v>
      </c>
      <c r="N105" s="64">
        <v>28.173999999999999</v>
      </c>
      <c r="O105" s="61" t="s">
        <v>444</v>
      </c>
      <c r="P105" s="64">
        <v>106</v>
      </c>
      <c r="Q105" s="65">
        <v>242.16</v>
      </c>
      <c r="R105" s="65">
        <v>71.08</v>
      </c>
      <c r="S105" s="65">
        <v>0</v>
      </c>
      <c r="T105" s="65">
        <v>0</v>
      </c>
      <c r="U105" s="65">
        <v>313.24</v>
      </c>
    </row>
    <row r="106" spans="1:21" s="61" customFormat="1" hidden="1" x14ac:dyDescent="0.25">
      <c r="A106" s="62">
        <v>1178354</v>
      </c>
      <c r="B106" s="61" t="s">
        <v>445</v>
      </c>
      <c r="C106" s="63">
        <v>42542</v>
      </c>
      <c r="D106" s="63">
        <v>42542</v>
      </c>
      <c r="E106" s="61" t="s">
        <v>482</v>
      </c>
      <c r="F106" s="61" t="s">
        <v>452</v>
      </c>
      <c r="G106" s="61" t="s">
        <v>467</v>
      </c>
      <c r="H106" s="61" t="s">
        <v>441</v>
      </c>
      <c r="I106" s="61" t="s">
        <v>442</v>
      </c>
      <c r="J106" s="61" t="s">
        <v>443</v>
      </c>
      <c r="K106" s="61" t="s">
        <v>443</v>
      </c>
      <c r="L106" s="64">
        <v>0</v>
      </c>
      <c r="M106" s="64">
        <v>29.643999999999998</v>
      </c>
      <c r="N106" s="64">
        <v>38.479999999999997</v>
      </c>
      <c r="O106" s="61" t="s">
        <v>444</v>
      </c>
      <c r="P106" s="64">
        <v>136</v>
      </c>
      <c r="Q106" s="65">
        <v>242.16</v>
      </c>
      <c r="R106" s="65">
        <v>71.08</v>
      </c>
      <c r="S106" s="65">
        <v>0</v>
      </c>
      <c r="T106" s="65">
        <v>0</v>
      </c>
      <c r="U106" s="65">
        <v>313.24</v>
      </c>
    </row>
    <row r="107" spans="1:21" s="61" customFormat="1" hidden="1" x14ac:dyDescent="0.25">
      <c r="A107" s="62">
        <v>1178353</v>
      </c>
      <c r="B107" s="61" t="s">
        <v>445</v>
      </c>
      <c r="C107" s="63">
        <v>42542</v>
      </c>
      <c r="D107" s="63">
        <v>42542</v>
      </c>
      <c r="E107" s="61" t="s">
        <v>446</v>
      </c>
      <c r="F107" s="61" t="s">
        <v>452</v>
      </c>
      <c r="G107" s="61" t="s">
        <v>440</v>
      </c>
      <c r="H107" s="61" t="s">
        <v>441</v>
      </c>
      <c r="I107" s="61" t="s">
        <v>442</v>
      </c>
      <c r="J107" s="61" t="s">
        <v>443</v>
      </c>
      <c r="K107" s="61" t="s">
        <v>443</v>
      </c>
      <c r="L107" s="64">
        <v>0</v>
      </c>
      <c r="M107" s="64">
        <v>0</v>
      </c>
      <c r="N107" s="64">
        <v>28.173999999999999</v>
      </c>
      <c r="O107" s="61" t="s">
        <v>444</v>
      </c>
      <c r="P107" s="64">
        <v>0</v>
      </c>
      <c r="Q107" s="65">
        <v>60.54</v>
      </c>
      <c r="R107" s="65">
        <v>17.77</v>
      </c>
      <c r="S107" s="65">
        <v>0</v>
      </c>
      <c r="T107" s="65">
        <v>0</v>
      </c>
      <c r="U107" s="65">
        <v>78.31</v>
      </c>
    </row>
    <row r="108" spans="1:21" s="61" customFormat="1" hidden="1" x14ac:dyDescent="0.25">
      <c r="A108" s="62">
        <v>1178061</v>
      </c>
      <c r="B108" s="61" t="s">
        <v>445</v>
      </c>
      <c r="C108" s="63">
        <v>42541</v>
      </c>
      <c r="D108" s="63">
        <v>42541</v>
      </c>
      <c r="E108" s="61" t="s">
        <v>482</v>
      </c>
      <c r="F108" s="61" t="s">
        <v>452</v>
      </c>
      <c r="G108" s="61" t="s">
        <v>440</v>
      </c>
      <c r="H108" s="61" t="s">
        <v>441</v>
      </c>
      <c r="I108" s="61" t="s">
        <v>442</v>
      </c>
      <c r="J108" s="61" t="s">
        <v>443</v>
      </c>
      <c r="K108" s="61" t="s">
        <v>443</v>
      </c>
      <c r="L108" s="64">
        <v>0</v>
      </c>
      <c r="M108" s="64">
        <v>0</v>
      </c>
      <c r="N108" s="64">
        <v>28.173999999999999</v>
      </c>
      <c r="O108" s="61" t="s">
        <v>444</v>
      </c>
      <c r="P108" s="64">
        <v>196</v>
      </c>
      <c r="Q108" s="65">
        <v>242.16</v>
      </c>
      <c r="R108" s="65">
        <v>71.08</v>
      </c>
      <c r="S108" s="65">
        <v>0</v>
      </c>
      <c r="T108" s="65">
        <v>0</v>
      </c>
      <c r="U108" s="65">
        <v>313.24</v>
      </c>
    </row>
    <row r="109" spans="1:21" s="61" customFormat="1" hidden="1" x14ac:dyDescent="0.25">
      <c r="A109" s="62">
        <v>1172015</v>
      </c>
      <c r="B109" s="61" t="s">
        <v>445</v>
      </c>
      <c r="C109" s="63">
        <v>42514</v>
      </c>
      <c r="D109" s="63">
        <v>42514</v>
      </c>
      <c r="E109" s="61" t="s">
        <v>482</v>
      </c>
      <c r="F109" s="61" t="s">
        <v>452</v>
      </c>
      <c r="G109" s="61" t="s">
        <v>440</v>
      </c>
      <c r="H109" s="61" t="s">
        <v>441</v>
      </c>
      <c r="I109" s="61" t="s">
        <v>442</v>
      </c>
      <c r="J109" s="61" t="s">
        <v>443</v>
      </c>
      <c r="K109" s="61" t="s">
        <v>443</v>
      </c>
      <c r="L109" s="64">
        <v>0</v>
      </c>
      <c r="M109" s="64">
        <v>0</v>
      </c>
      <c r="N109" s="64">
        <v>28.173999999999999</v>
      </c>
      <c r="O109" s="61" t="s">
        <v>444</v>
      </c>
      <c r="P109" s="64">
        <v>57.25</v>
      </c>
      <c r="Q109" s="65">
        <v>423.78</v>
      </c>
      <c r="R109" s="65">
        <v>128.44999999999999</v>
      </c>
      <c r="S109" s="65">
        <v>0</v>
      </c>
      <c r="T109" s="65">
        <v>0</v>
      </c>
      <c r="U109" s="65">
        <v>552.23</v>
      </c>
    </row>
    <row r="110" spans="1:21" s="61" customFormat="1" hidden="1" x14ac:dyDescent="0.25">
      <c r="A110" s="62">
        <v>1169071</v>
      </c>
      <c r="B110" s="61" t="s">
        <v>445</v>
      </c>
      <c r="C110" s="63">
        <v>42501</v>
      </c>
      <c r="D110" s="63">
        <v>42501</v>
      </c>
      <c r="E110" s="61" t="s">
        <v>446</v>
      </c>
      <c r="F110" s="61" t="s">
        <v>452</v>
      </c>
      <c r="G110" s="61" t="s">
        <v>440</v>
      </c>
      <c r="H110" s="61" t="s">
        <v>441</v>
      </c>
      <c r="I110" s="61" t="s">
        <v>442</v>
      </c>
      <c r="J110" s="61" t="s">
        <v>443</v>
      </c>
      <c r="K110" s="61" t="s">
        <v>443</v>
      </c>
      <c r="L110" s="64">
        <v>0</v>
      </c>
      <c r="M110" s="64">
        <v>0</v>
      </c>
      <c r="N110" s="64">
        <v>28.173999999999999</v>
      </c>
      <c r="O110" s="61" t="s">
        <v>444</v>
      </c>
      <c r="P110" s="64">
        <v>12</v>
      </c>
      <c r="Q110" s="65">
        <v>60.54</v>
      </c>
      <c r="R110" s="65">
        <v>17.77</v>
      </c>
      <c r="S110" s="65">
        <v>0</v>
      </c>
      <c r="T110" s="65">
        <v>0</v>
      </c>
      <c r="U110" s="65">
        <v>78.31</v>
      </c>
    </row>
    <row r="111" spans="1:21" s="61" customFormat="1" hidden="1" x14ac:dyDescent="0.25">
      <c r="A111" s="62">
        <v>1168746</v>
      </c>
      <c r="B111" s="61" t="s">
        <v>445</v>
      </c>
      <c r="C111" s="63">
        <v>42500</v>
      </c>
      <c r="D111" s="63">
        <v>42500</v>
      </c>
      <c r="E111" s="61" t="s">
        <v>482</v>
      </c>
      <c r="F111" s="61" t="s">
        <v>452</v>
      </c>
      <c r="G111" s="61" t="s">
        <v>440</v>
      </c>
      <c r="H111" s="61" t="s">
        <v>441</v>
      </c>
      <c r="I111" s="61" t="s">
        <v>442</v>
      </c>
      <c r="J111" s="61" t="s">
        <v>443</v>
      </c>
      <c r="K111" s="61" t="s">
        <v>443</v>
      </c>
      <c r="L111" s="64">
        <v>0</v>
      </c>
      <c r="M111" s="64">
        <v>0</v>
      </c>
      <c r="N111" s="64">
        <v>28.173999999999999</v>
      </c>
      <c r="O111" s="61" t="s">
        <v>444</v>
      </c>
      <c r="P111" s="64">
        <v>0</v>
      </c>
      <c r="Q111" s="65">
        <v>0</v>
      </c>
      <c r="R111" s="65">
        <v>0</v>
      </c>
      <c r="S111" s="65">
        <v>0</v>
      </c>
      <c r="T111" s="65">
        <v>0</v>
      </c>
      <c r="U111" s="65">
        <v>0</v>
      </c>
    </row>
    <row r="112" spans="1:21" s="61" customFormat="1" hidden="1" x14ac:dyDescent="0.25">
      <c r="A112" s="62">
        <v>1168746</v>
      </c>
      <c r="B112" s="61" t="s">
        <v>445</v>
      </c>
      <c r="C112" s="63">
        <v>42500</v>
      </c>
      <c r="D112" s="63">
        <v>42500</v>
      </c>
      <c r="E112" s="61" t="s">
        <v>482</v>
      </c>
      <c r="F112" s="61" t="s">
        <v>452</v>
      </c>
      <c r="G112" s="61" t="s">
        <v>467</v>
      </c>
      <c r="H112" s="61" t="s">
        <v>441</v>
      </c>
      <c r="I112" s="61" t="s">
        <v>442</v>
      </c>
      <c r="J112" s="61" t="s">
        <v>443</v>
      </c>
      <c r="K112" s="61" t="s">
        <v>443</v>
      </c>
      <c r="L112" s="64">
        <v>0</v>
      </c>
      <c r="M112" s="64">
        <v>29.643999999999998</v>
      </c>
      <c r="N112" s="64">
        <v>38.479999999999997</v>
      </c>
      <c r="O112" s="61" t="s">
        <v>444</v>
      </c>
      <c r="P112" s="64">
        <v>0</v>
      </c>
      <c r="Q112" s="65">
        <v>0</v>
      </c>
      <c r="R112" s="65">
        <v>0</v>
      </c>
      <c r="S112" s="65">
        <v>0</v>
      </c>
      <c r="T112" s="65">
        <v>0</v>
      </c>
      <c r="U112" s="65">
        <v>0</v>
      </c>
    </row>
    <row r="113" spans="1:21" s="61" customFormat="1" hidden="1" x14ac:dyDescent="0.25">
      <c r="A113" s="62">
        <v>1168342</v>
      </c>
      <c r="B113" s="61" t="s">
        <v>445</v>
      </c>
      <c r="C113" s="63">
        <v>42499</v>
      </c>
      <c r="D113" s="63">
        <v>42499</v>
      </c>
      <c r="E113" s="61" t="s">
        <v>482</v>
      </c>
      <c r="F113" s="61" t="s">
        <v>452</v>
      </c>
      <c r="G113" s="61" t="s">
        <v>440</v>
      </c>
      <c r="H113" s="61" t="s">
        <v>441</v>
      </c>
      <c r="I113" s="61" t="s">
        <v>442</v>
      </c>
      <c r="J113" s="61" t="s">
        <v>443</v>
      </c>
      <c r="K113" s="61" t="s">
        <v>443</v>
      </c>
      <c r="L113" s="64">
        <v>0</v>
      </c>
      <c r="M113" s="64">
        <v>0</v>
      </c>
      <c r="N113" s="64">
        <v>28.173999999999999</v>
      </c>
      <c r="O113" s="61" t="s">
        <v>444</v>
      </c>
      <c r="P113" s="64">
        <v>100</v>
      </c>
      <c r="Q113" s="65">
        <v>211.89</v>
      </c>
      <c r="R113" s="65">
        <v>62.2</v>
      </c>
      <c r="S113" s="65">
        <v>0</v>
      </c>
      <c r="T113" s="65">
        <v>0</v>
      </c>
      <c r="U113" s="65">
        <v>274.08999999999997</v>
      </c>
    </row>
    <row r="114" spans="1:21" s="61" customFormat="1" hidden="1" x14ac:dyDescent="0.25">
      <c r="A114" s="62">
        <v>1168342</v>
      </c>
      <c r="B114" s="61" t="s">
        <v>445</v>
      </c>
      <c r="C114" s="63">
        <v>42499</v>
      </c>
      <c r="D114" s="63">
        <v>42499</v>
      </c>
      <c r="E114" s="61" t="s">
        <v>482</v>
      </c>
      <c r="F114" s="61" t="s">
        <v>452</v>
      </c>
      <c r="G114" s="61" t="s">
        <v>467</v>
      </c>
      <c r="H114" s="61" t="s">
        <v>441</v>
      </c>
      <c r="I114" s="61" t="s">
        <v>442</v>
      </c>
      <c r="J114" s="61" t="s">
        <v>443</v>
      </c>
      <c r="K114" s="61" t="s">
        <v>443</v>
      </c>
      <c r="L114" s="64">
        <v>0</v>
      </c>
      <c r="M114" s="64">
        <v>29.643999999999998</v>
      </c>
      <c r="N114" s="64">
        <v>38.479999999999997</v>
      </c>
      <c r="O114" s="61" t="s">
        <v>444</v>
      </c>
      <c r="P114" s="64">
        <v>100</v>
      </c>
      <c r="Q114" s="65">
        <v>211.89</v>
      </c>
      <c r="R114" s="65">
        <v>62.2</v>
      </c>
      <c r="S114" s="65">
        <v>0</v>
      </c>
      <c r="T114" s="65">
        <v>0</v>
      </c>
      <c r="U114" s="65">
        <v>274.08999999999997</v>
      </c>
    </row>
    <row r="115" spans="1:21" s="61" customFormat="1" hidden="1" x14ac:dyDescent="0.25">
      <c r="A115" s="62">
        <v>1167316</v>
      </c>
      <c r="B115" s="61" t="s">
        <v>445</v>
      </c>
      <c r="C115" s="63">
        <v>42494</v>
      </c>
      <c r="D115" s="63">
        <v>42494</v>
      </c>
      <c r="E115" s="61" t="s">
        <v>446</v>
      </c>
      <c r="F115" s="61" t="s">
        <v>452</v>
      </c>
      <c r="G115" s="61" t="s">
        <v>440</v>
      </c>
      <c r="H115" s="61" t="s">
        <v>441</v>
      </c>
      <c r="I115" s="61" t="s">
        <v>442</v>
      </c>
      <c r="J115" s="61" t="s">
        <v>443</v>
      </c>
      <c r="K115" s="61" t="s">
        <v>443</v>
      </c>
      <c r="L115" s="64">
        <v>0</v>
      </c>
      <c r="M115" s="64">
        <v>0</v>
      </c>
      <c r="N115" s="64">
        <v>28.173999999999999</v>
      </c>
      <c r="O115" s="61" t="s">
        <v>444</v>
      </c>
      <c r="P115" s="64">
        <v>15.5</v>
      </c>
      <c r="Q115" s="65">
        <v>121.08</v>
      </c>
      <c r="R115" s="65">
        <v>35.54</v>
      </c>
      <c r="S115" s="65">
        <v>0</v>
      </c>
      <c r="T115" s="65">
        <v>0</v>
      </c>
      <c r="U115" s="65">
        <v>156.62</v>
      </c>
    </row>
    <row r="116" spans="1:21" s="61" customFormat="1" hidden="1" x14ac:dyDescent="0.25">
      <c r="A116" s="62">
        <v>1166895</v>
      </c>
      <c r="B116" s="61" t="s">
        <v>445</v>
      </c>
      <c r="C116" s="63">
        <v>42493</v>
      </c>
      <c r="D116" s="63">
        <v>42493</v>
      </c>
      <c r="E116" s="61" t="s">
        <v>482</v>
      </c>
      <c r="F116" s="61" t="s">
        <v>452</v>
      </c>
      <c r="G116" s="61" t="s">
        <v>440</v>
      </c>
      <c r="H116" s="61" t="s">
        <v>441</v>
      </c>
      <c r="I116" s="61" t="s">
        <v>442</v>
      </c>
      <c r="J116" s="61" t="s">
        <v>443</v>
      </c>
      <c r="K116" s="61" t="s">
        <v>443</v>
      </c>
      <c r="L116" s="64">
        <v>0</v>
      </c>
      <c r="M116" s="64">
        <v>0</v>
      </c>
      <c r="N116" s="64">
        <v>28.173999999999999</v>
      </c>
      <c r="O116" s="61" t="s">
        <v>444</v>
      </c>
      <c r="P116" s="64">
        <v>106.5</v>
      </c>
      <c r="Q116" s="65">
        <v>605.4</v>
      </c>
      <c r="R116" s="65">
        <v>183.5</v>
      </c>
      <c r="S116" s="65">
        <v>0</v>
      </c>
      <c r="T116" s="65">
        <v>0</v>
      </c>
      <c r="U116" s="65">
        <v>788.9</v>
      </c>
    </row>
    <row r="117" spans="1:21" s="61" customFormat="1" hidden="1" x14ac:dyDescent="0.25">
      <c r="A117" s="62">
        <v>1166561</v>
      </c>
      <c r="B117" s="61" t="s">
        <v>445</v>
      </c>
      <c r="C117" s="63">
        <v>42492</v>
      </c>
      <c r="D117" s="63">
        <v>42493</v>
      </c>
      <c r="E117" s="61" t="s">
        <v>446</v>
      </c>
      <c r="F117" s="61" t="s">
        <v>452</v>
      </c>
      <c r="G117" s="61" t="s">
        <v>440</v>
      </c>
      <c r="H117" s="61" t="s">
        <v>441</v>
      </c>
      <c r="I117" s="61" t="s">
        <v>442</v>
      </c>
      <c r="J117" s="61" t="s">
        <v>443</v>
      </c>
      <c r="K117" s="61" t="s">
        <v>443</v>
      </c>
      <c r="L117" s="64">
        <v>0</v>
      </c>
      <c r="M117" s="64">
        <v>0</v>
      </c>
      <c r="N117" s="64">
        <v>28.173999999999999</v>
      </c>
      <c r="O117" s="61" t="s">
        <v>444</v>
      </c>
      <c r="P117" s="64">
        <v>13.5</v>
      </c>
      <c r="Q117" s="65">
        <v>121.08</v>
      </c>
      <c r="R117" s="65">
        <v>36.700000000000003</v>
      </c>
      <c r="S117" s="65">
        <v>0</v>
      </c>
      <c r="T117" s="65">
        <v>0</v>
      </c>
      <c r="U117" s="65">
        <v>157.78</v>
      </c>
    </row>
    <row r="118" spans="1:21" s="61" customFormat="1" hidden="1" x14ac:dyDescent="0.25">
      <c r="A118" s="62">
        <v>1165854</v>
      </c>
      <c r="B118" s="61" t="s">
        <v>445</v>
      </c>
      <c r="C118" s="63">
        <v>42488</v>
      </c>
      <c r="D118" s="63">
        <v>42489</v>
      </c>
      <c r="E118" s="61" t="s">
        <v>446</v>
      </c>
      <c r="F118" s="61" t="s">
        <v>452</v>
      </c>
      <c r="G118" s="61" t="s">
        <v>440</v>
      </c>
      <c r="H118" s="61" t="s">
        <v>441</v>
      </c>
      <c r="I118" s="61" t="s">
        <v>442</v>
      </c>
      <c r="J118" s="61" t="s">
        <v>443</v>
      </c>
      <c r="K118" s="61" t="s">
        <v>443</v>
      </c>
      <c r="L118" s="64">
        <v>0</v>
      </c>
      <c r="M118" s="64">
        <v>0</v>
      </c>
      <c r="N118" s="64">
        <v>28.173999999999999</v>
      </c>
      <c r="O118" s="61" t="s">
        <v>444</v>
      </c>
      <c r="P118" s="64">
        <v>2.25</v>
      </c>
      <c r="Q118" s="65">
        <v>60.54</v>
      </c>
      <c r="R118" s="65">
        <v>18.350000000000001</v>
      </c>
      <c r="S118" s="65">
        <v>0</v>
      </c>
      <c r="T118" s="65">
        <v>0</v>
      </c>
      <c r="U118" s="65">
        <v>78.89</v>
      </c>
    </row>
    <row r="119" spans="1:21" s="61" customFormat="1" hidden="1" x14ac:dyDescent="0.25">
      <c r="A119" s="62">
        <v>1165469</v>
      </c>
      <c r="B119" s="61" t="s">
        <v>445</v>
      </c>
      <c r="C119" s="63">
        <v>42487</v>
      </c>
      <c r="D119" s="63">
        <v>42487</v>
      </c>
      <c r="E119" s="61" t="s">
        <v>482</v>
      </c>
      <c r="F119" s="61" t="s">
        <v>452</v>
      </c>
      <c r="G119" s="61" t="s">
        <v>440</v>
      </c>
      <c r="H119" s="61" t="s">
        <v>441</v>
      </c>
      <c r="I119" s="61" t="s">
        <v>442</v>
      </c>
      <c r="J119" s="61" t="s">
        <v>443</v>
      </c>
      <c r="K119" s="61" t="s">
        <v>443</v>
      </c>
      <c r="L119" s="64">
        <v>0</v>
      </c>
      <c r="M119" s="64">
        <v>0</v>
      </c>
      <c r="N119" s="64">
        <v>28.173999999999999</v>
      </c>
      <c r="O119" s="61" t="s">
        <v>444</v>
      </c>
      <c r="P119" s="64">
        <v>153.25</v>
      </c>
      <c r="Q119" s="65">
        <v>363.24</v>
      </c>
      <c r="R119" s="65">
        <v>108.36</v>
      </c>
      <c r="S119" s="65">
        <v>0</v>
      </c>
      <c r="T119" s="65">
        <v>0</v>
      </c>
      <c r="U119" s="65">
        <v>471.6</v>
      </c>
    </row>
    <row r="120" spans="1:21" s="61" customFormat="1" hidden="1" x14ac:dyDescent="0.25">
      <c r="A120" s="62">
        <v>1165469</v>
      </c>
      <c r="B120" s="61" t="s">
        <v>445</v>
      </c>
      <c r="C120" s="63">
        <v>42487</v>
      </c>
      <c r="D120" s="63">
        <v>42487</v>
      </c>
      <c r="E120" s="61" t="s">
        <v>482</v>
      </c>
      <c r="F120" s="61" t="s">
        <v>452</v>
      </c>
      <c r="G120" s="61" t="s">
        <v>467</v>
      </c>
      <c r="H120" s="61" t="s">
        <v>441</v>
      </c>
      <c r="I120" s="61" t="s">
        <v>442</v>
      </c>
      <c r="J120" s="61" t="s">
        <v>443</v>
      </c>
      <c r="K120" s="61" t="s">
        <v>443</v>
      </c>
      <c r="L120" s="64">
        <v>0</v>
      </c>
      <c r="M120" s="64">
        <v>29.643999999999998</v>
      </c>
      <c r="N120" s="64">
        <v>38.479999999999997</v>
      </c>
      <c r="O120" s="61" t="s">
        <v>444</v>
      </c>
      <c r="P120" s="64">
        <v>153.25</v>
      </c>
      <c r="Q120" s="65">
        <v>363.24</v>
      </c>
      <c r="R120" s="65">
        <v>108.36</v>
      </c>
      <c r="S120" s="65">
        <v>0</v>
      </c>
      <c r="T120" s="65">
        <v>0</v>
      </c>
      <c r="U120" s="65">
        <v>471.6</v>
      </c>
    </row>
    <row r="121" spans="1:21" s="61" customFormat="1" hidden="1" x14ac:dyDescent="0.25">
      <c r="A121" s="62">
        <v>1165172</v>
      </c>
      <c r="B121" s="61" t="s">
        <v>445</v>
      </c>
      <c r="C121" s="63">
        <v>42486</v>
      </c>
      <c r="D121" s="63">
        <v>42486</v>
      </c>
      <c r="E121" s="61" t="s">
        <v>482</v>
      </c>
      <c r="F121" s="61" t="s">
        <v>452</v>
      </c>
      <c r="G121" s="61" t="s">
        <v>440</v>
      </c>
      <c r="H121" s="61" t="s">
        <v>441</v>
      </c>
      <c r="I121" s="61" t="s">
        <v>442</v>
      </c>
      <c r="J121" s="61" t="s">
        <v>443</v>
      </c>
      <c r="K121" s="61" t="s">
        <v>443</v>
      </c>
      <c r="L121" s="64">
        <v>0</v>
      </c>
      <c r="M121" s="64">
        <v>0</v>
      </c>
      <c r="N121" s="64">
        <v>28.173999999999999</v>
      </c>
      <c r="O121" s="61" t="s">
        <v>444</v>
      </c>
      <c r="P121" s="64">
        <v>366.25</v>
      </c>
      <c r="Q121" s="65">
        <v>1089.72</v>
      </c>
      <c r="R121" s="65">
        <v>325.08</v>
      </c>
      <c r="S121" s="65">
        <v>0</v>
      </c>
      <c r="T121" s="65">
        <v>0</v>
      </c>
      <c r="U121" s="65">
        <v>1414.8</v>
      </c>
    </row>
    <row r="122" spans="1:21" s="61" customFormat="1" hidden="1" x14ac:dyDescent="0.25">
      <c r="A122" s="62">
        <v>1159819</v>
      </c>
      <c r="B122" s="61" t="s">
        <v>445</v>
      </c>
      <c r="C122" s="63">
        <v>42465</v>
      </c>
      <c r="D122" s="63">
        <v>42465</v>
      </c>
      <c r="E122" s="61" t="s">
        <v>446</v>
      </c>
      <c r="F122" s="61" t="s">
        <v>452</v>
      </c>
      <c r="G122" s="61" t="s">
        <v>467</v>
      </c>
      <c r="H122" s="61" t="s">
        <v>441</v>
      </c>
      <c r="I122" s="61" t="s">
        <v>442</v>
      </c>
      <c r="J122" s="61" t="s">
        <v>443</v>
      </c>
      <c r="K122" s="61" t="s">
        <v>443</v>
      </c>
      <c r="L122" s="64">
        <v>0</v>
      </c>
      <c r="M122" s="64">
        <v>29.643999999999998</v>
      </c>
      <c r="N122" s="64">
        <v>38.479999999999997</v>
      </c>
      <c r="O122" s="61" t="s">
        <v>444</v>
      </c>
      <c r="P122" s="64">
        <v>0</v>
      </c>
      <c r="Q122" s="65">
        <v>0</v>
      </c>
      <c r="R122" s="65">
        <v>0</v>
      </c>
      <c r="S122" s="65">
        <v>0</v>
      </c>
      <c r="T122" s="65">
        <v>0</v>
      </c>
      <c r="U122" s="65">
        <v>0</v>
      </c>
    </row>
    <row r="123" spans="1:21" s="61" customFormat="1" hidden="1" x14ac:dyDescent="0.25">
      <c r="A123" s="62">
        <v>1157201</v>
      </c>
      <c r="B123" s="61" t="s">
        <v>437</v>
      </c>
      <c r="C123" s="63">
        <v>42453</v>
      </c>
      <c r="D123" s="63">
        <v>42460</v>
      </c>
      <c r="E123" s="61" t="s">
        <v>450</v>
      </c>
      <c r="F123" s="61" t="s">
        <v>469</v>
      </c>
      <c r="G123" s="61" t="s">
        <v>440</v>
      </c>
      <c r="H123" s="61" t="s">
        <v>441</v>
      </c>
      <c r="I123" s="61" t="s">
        <v>442</v>
      </c>
      <c r="J123" s="61" t="s">
        <v>443</v>
      </c>
      <c r="K123" s="61" t="s">
        <v>443</v>
      </c>
      <c r="L123" s="64">
        <v>0</v>
      </c>
      <c r="M123" s="64">
        <v>0</v>
      </c>
      <c r="N123" s="64">
        <v>28.173999999999999</v>
      </c>
      <c r="O123" s="61" t="s">
        <v>444</v>
      </c>
      <c r="P123" s="64">
        <v>0.6</v>
      </c>
      <c r="Q123" s="65">
        <v>1386.46</v>
      </c>
      <c r="R123" s="65">
        <v>769.24</v>
      </c>
      <c r="S123" s="65">
        <v>317.60000000000002</v>
      </c>
      <c r="T123" s="65">
        <v>0</v>
      </c>
      <c r="U123" s="65">
        <v>2473.3000000000002</v>
      </c>
    </row>
    <row r="124" spans="1:21" s="61" customFormat="1" hidden="1" x14ac:dyDescent="0.25">
      <c r="A124" s="62">
        <v>1155238</v>
      </c>
      <c r="B124" s="61" t="s">
        <v>437</v>
      </c>
      <c r="C124" s="63">
        <v>42447</v>
      </c>
      <c r="D124" s="63">
        <v>42447</v>
      </c>
      <c r="E124" s="61" t="s">
        <v>450</v>
      </c>
      <c r="F124" s="61" t="s">
        <v>464</v>
      </c>
      <c r="G124" s="61" t="s">
        <v>475</v>
      </c>
      <c r="H124" s="61" t="s">
        <v>441</v>
      </c>
      <c r="I124" s="61" t="s">
        <v>454</v>
      </c>
      <c r="J124" s="61" t="s">
        <v>443</v>
      </c>
      <c r="K124" s="61" t="s">
        <v>443</v>
      </c>
      <c r="L124" s="64">
        <v>0</v>
      </c>
      <c r="M124" s="64">
        <v>0</v>
      </c>
      <c r="N124" s="64">
        <v>3.4409999999999998</v>
      </c>
      <c r="O124" s="61" t="s">
        <v>444</v>
      </c>
      <c r="P124" s="64">
        <v>1</v>
      </c>
      <c r="Q124" s="65">
        <v>786.4</v>
      </c>
      <c r="R124" s="65">
        <v>394.07</v>
      </c>
      <c r="S124" s="65">
        <v>0</v>
      </c>
      <c r="T124" s="65">
        <v>26.97</v>
      </c>
      <c r="U124" s="65">
        <v>1207.44</v>
      </c>
    </row>
    <row r="125" spans="1:21" s="61" customFormat="1" hidden="1" x14ac:dyDescent="0.25">
      <c r="A125" s="62">
        <v>1155180</v>
      </c>
      <c r="B125" s="61" t="s">
        <v>445</v>
      </c>
      <c r="C125" s="63">
        <v>42446</v>
      </c>
      <c r="D125" s="63">
        <v>42446</v>
      </c>
      <c r="E125" s="61" t="s">
        <v>482</v>
      </c>
      <c r="F125" s="61" t="s">
        <v>452</v>
      </c>
      <c r="G125" s="61" t="s">
        <v>467</v>
      </c>
      <c r="H125" s="61" t="s">
        <v>441</v>
      </c>
      <c r="I125" s="61" t="s">
        <v>442</v>
      </c>
      <c r="J125" s="61" t="s">
        <v>443</v>
      </c>
      <c r="K125" s="61" t="s">
        <v>443</v>
      </c>
      <c r="L125" s="64">
        <v>0</v>
      </c>
      <c r="M125" s="64">
        <v>29.643999999999998</v>
      </c>
      <c r="N125" s="64">
        <v>38.479999999999997</v>
      </c>
      <c r="O125" s="61" t="s">
        <v>444</v>
      </c>
      <c r="P125" s="64">
        <v>164.5</v>
      </c>
      <c r="Q125" s="65">
        <v>1030.8800000000001</v>
      </c>
      <c r="R125" s="65">
        <v>307.31</v>
      </c>
      <c r="S125" s="65">
        <v>0</v>
      </c>
      <c r="T125" s="65">
        <v>0</v>
      </c>
      <c r="U125" s="65">
        <v>1338.19</v>
      </c>
    </row>
    <row r="126" spans="1:21" s="61" customFormat="1" hidden="1" x14ac:dyDescent="0.25">
      <c r="A126" s="62">
        <v>1154690</v>
      </c>
      <c r="B126" s="61" t="s">
        <v>445</v>
      </c>
      <c r="C126" s="63">
        <v>42445</v>
      </c>
      <c r="D126" s="63">
        <v>42445</v>
      </c>
      <c r="E126" s="61" t="s">
        <v>482</v>
      </c>
      <c r="F126" s="61" t="s">
        <v>452</v>
      </c>
      <c r="G126" s="61" t="s">
        <v>467</v>
      </c>
      <c r="H126" s="61" t="s">
        <v>441</v>
      </c>
      <c r="I126" s="61" t="s">
        <v>442</v>
      </c>
      <c r="J126" s="61" t="s">
        <v>443</v>
      </c>
      <c r="K126" s="61" t="s">
        <v>443</v>
      </c>
      <c r="L126" s="64">
        <v>0</v>
      </c>
      <c r="M126" s="64">
        <v>29.643999999999998</v>
      </c>
      <c r="N126" s="64">
        <v>38.479999999999997</v>
      </c>
      <c r="O126" s="61" t="s">
        <v>444</v>
      </c>
      <c r="P126" s="64">
        <v>165</v>
      </c>
      <c r="Q126" s="65">
        <v>970.24</v>
      </c>
      <c r="R126" s="65">
        <v>288.95999999999998</v>
      </c>
      <c r="S126" s="65">
        <v>0</v>
      </c>
      <c r="T126" s="65">
        <v>0</v>
      </c>
      <c r="U126" s="65">
        <v>1259.2</v>
      </c>
    </row>
    <row r="127" spans="1:21" s="61" customFormat="1" hidden="1" x14ac:dyDescent="0.25">
      <c r="A127" s="62">
        <v>1152906</v>
      </c>
      <c r="B127" s="61" t="s">
        <v>445</v>
      </c>
      <c r="C127" s="63">
        <v>42439</v>
      </c>
      <c r="D127" s="63">
        <v>42439</v>
      </c>
      <c r="E127" s="61" t="s">
        <v>482</v>
      </c>
      <c r="F127" s="61" t="s">
        <v>452</v>
      </c>
      <c r="G127" s="61" t="s">
        <v>440</v>
      </c>
      <c r="H127" s="61" t="s">
        <v>441</v>
      </c>
      <c r="I127" s="61" t="s">
        <v>442</v>
      </c>
      <c r="J127" s="61" t="s">
        <v>443</v>
      </c>
      <c r="K127" s="61" t="s">
        <v>443</v>
      </c>
      <c r="L127" s="64">
        <v>0</v>
      </c>
      <c r="M127" s="64">
        <v>0</v>
      </c>
      <c r="N127" s="64">
        <v>28.173999999999999</v>
      </c>
      <c r="O127" s="61" t="s">
        <v>444</v>
      </c>
      <c r="P127" s="64">
        <v>14</v>
      </c>
      <c r="Q127" s="65">
        <v>303.2</v>
      </c>
      <c r="R127" s="65">
        <v>88.85</v>
      </c>
      <c r="S127" s="65">
        <v>0</v>
      </c>
      <c r="T127" s="65">
        <v>0</v>
      </c>
      <c r="U127" s="65">
        <v>392.05</v>
      </c>
    </row>
    <row r="128" spans="1:21" s="61" customFormat="1" hidden="1" x14ac:dyDescent="0.25">
      <c r="A128" s="62">
        <v>1152048</v>
      </c>
      <c r="B128" s="61" t="s">
        <v>445</v>
      </c>
      <c r="C128" s="63">
        <v>42437</v>
      </c>
      <c r="D128" s="63">
        <v>42437</v>
      </c>
      <c r="E128" s="61" t="s">
        <v>482</v>
      </c>
      <c r="F128" s="61" t="s">
        <v>452</v>
      </c>
      <c r="G128" s="61" t="s">
        <v>440</v>
      </c>
      <c r="H128" s="61" t="s">
        <v>441</v>
      </c>
      <c r="I128" s="61" t="s">
        <v>442</v>
      </c>
      <c r="J128" s="61" t="s">
        <v>443</v>
      </c>
      <c r="K128" s="61" t="s">
        <v>443</v>
      </c>
      <c r="L128" s="64">
        <v>0</v>
      </c>
      <c r="M128" s="64">
        <v>0</v>
      </c>
      <c r="N128" s="64">
        <v>28.173999999999999</v>
      </c>
      <c r="O128" s="61" t="s">
        <v>444</v>
      </c>
      <c r="P128" s="64">
        <v>64</v>
      </c>
      <c r="Q128" s="65">
        <v>363.84</v>
      </c>
      <c r="R128" s="65">
        <v>106.62</v>
      </c>
      <c r="S128" s="65">
        <v>0</v>
      </c>
      <c r="T128" s="65">
        <v>0</v>
      </c>
      <c r="U128" s="65">
        <v>470.46</v>
      </c>
    </row>
    <row r="129" spans="1:21" s="61" customFormat="1" hidden="1" x14ac:dyDescent="0.25">
      <c r="A129" s="62">
        <v>1151559</v>
      </c>
      <c r="B129" s="61" t="s">
        <v>445</v>
      </c>
      <c r="C129" s="63">
        <v>42436</v>
      </c>
      <c r="D129" s="63">
        <v>42436</v>
      </c>
      <c r="E129" s="61" t="s">
        <v>446</v>
      </c>
      <c r="F129" s="61" t="s">
        <v>452</v>
      </c>
      <c r="G129" s="61" t="s">
        <v>440</v>
      </c>
      <c r="H129" s="61" t="s">
        <v>441</v>
      </c>
      <c r="I129" s="61" t="s">
        <v>442</v>
      </c>
      <c r="J129" s="61" t="s">
        <v>443</v>
      </c>
      <c r="K129" s="61" t="s">
        <v>443</v>
      </c>
      <c r="L129" s="64">
        <v>0</v>
      </c>
      <c r="M129" s="64">
        <v>0</v>
      </c>
      <c r="N129" s="64">
        <v>28.173999999999999</v>
      </c>
      <c r="O129" s="61" t="s">
        <v>444</v>
      </c>
      <c r="P129" s="64">
        <v>7.3</v>
      </c>
      <c r="Q129" s="65">
        <v>121.28</v>
      </c>
      <c r="R129" s="65">
        <v>35.54</v>
      </c>
      <c r="S129" s="65">
        <v>0</v>
      </c>
      <c r="T129" s="65">
        <v>0</v>
      </c>
      <c r="U129" s="65">
        <v>156.82</v>
      </c>
    </row>
    <row r="130" spans="1:21" s="61" customFormat="1" hidden="1" x14ac:dyDescent="0.25">
      <c r="A130" s="62">
        <v>1150190</v>
      </c>
      <c r="B130" s="61" t="s">
        <v>445</v>
      </c>
      <c r="C130" s="63">
        <v>42431</v>
      </c>
      <c r="D130" s="63">
        <v>42431</v>
      </c>
      <c r="E130" s="61" t="s">
        <v>482</v>
      </c>
      <c r="F130" s="61" t="s">
        <v>452</v>
      </c>
      <c r="G130" s="61" t="s">
        <v>440</v>
      </c>
      <c r="H130" s="61" t="s">
        <v>441</v>
      </c>
      <c r="I130" s="61" t="s">
        <v>442</v>
      </c>
      <c r="J130" s="61" t="s">
        <v>443</v>
      </c>
      <c r="K130" s="61" t="s">
        <v>443</v>
      </c>
      <c r="L130" s="64">
        <v>0</v>
      </c>
      <c r="M130" s="64">
        <v>0</v>
      </c>
      <c r="N130" s="64">
        <v>28.173999999999999</v>
      </c>
      <c r="O130" s="61" t="s">
        <v>444</v>
      </c>
      <c r="P130" s="64">
        <v>186</v>
      </c>
      <c r="Q130" s="65">
        <v>970.24</v>
      </c>
      <c r="R130" s="65">
        <v>142.16</v>
      </c>
      <c r="S130" s="65">
        <v>0</v>
      </c>
      <c r="T130" s="65">
        <v>0</v>
      </c>
      <c r="U130" s="65">
        <v>1112.4000000000001</v>
      </c>
    </row>
    <row r="131" spans="1:21" s="61" customFormat="1" hidden="1" x14ac:dyDescent="0.25">
      <c r="A131" s="62">
        <v>1149890</v>
      </c>
      <c r="B131" s="61" t="s">
        <v>445</v>
      </c>
      <c r="C131" s="63">
        <v>42431</v>
      </c>
      <c r="D131" s="63">
        <v>42431</v>
      </c>
      <c r="E131" s="61" t="s">
        <v>482</v>
      </c>
      <c r="F131" s="61" t="s">
        <v>452</v>
      </c>
      <c r="G131" s="61" t="s">
        <v>440</v>
      </c>
      <c r="H131" s="61" t="s">
        <v>441</v>
      </c>
      <c r="I131" s="61" t="s">
        <v>442</v>
      </c>
      <c r="J131" s="61" t="s">
        <v>443</v>
      </c>
      <c r="K131" s="61" t="s">
        <v>443</v>
      </c>
      <c r="L131" s="64">
        <v>0</v>
      </c>
      <c r="M131" s="64">
        <v>0</v>
      </c>
      <c r="N131" s="64">
        <v>28.173999999999999</v>
      </c>
      <c r="O131" s="61" t="s">
        <v>444</v>
      </c>
      <c r="P131" s="64">
        <v>0</v>
      </c>
      <c r="Q131" s="65">
        <v>0</v>
      </c>
      <c r="R131" s="65">
        <v>0</v>
      </c>
      <c r="S131" s="65">
        <v>0</v>
      </c>
      <c r="T131" s="65">
        <v>0</v>
      </c>
      <c r="U131" s="65">
        <v>0</v>
      </c>
    </row>
    <row r="132" spans="1:21" s="61" customFormat="1" hidden="1" x14ac:dyDescent="0.25">
      <c r="A132" s="62">
        <v>1149814</v>
      </c>
      <c r="B132" s="61" t="s">
        <v>445</v>
      </c>
      <c r="C132" s="63">
        <v>42430</v>
      </c>
      <c r="D132" s="63">
        <v>42430</v>
      </c>
      <c r="E132" s="61" t="s">
        <v>446</v>
      </c>
      <c r="F132" s="61" t="s">
        <v>452</v>
      </c>
      <c r="G132" s="61" t="s">
        <v>440</v>
      </c>
      <c r="H132" s="61" t="s">
        <v>441</v>
      </c>
      <c r="I132" s="61" t="s">
        <v>442</v>
      </c>
      <c r="J132" s="61" t="s">
        <v>443</v>
      </c>
      <c r="K132" s="61" t="s">
        <v>443</v>
      </c>
      <c r="L132" s="64">
        <v>0</v>
      </c>
      <c r="M132" s="64">
        <v>0</v>
      </c>
      <c r="N132" s="64">
        <v>28.173999999999999</v>
      </c>
      <c r="O132" s="61" t="s">
        <v>444</v>
      </c>
      <c r="P132" s="64">
        <v>54</v>
      </c>
      <c r="Q132" s="65">
        <v>485.12</v>
      </c>
      <c r="R132" s="65">
        <v>146.80000000000001</v>
      </c>
      <c r="S132" s="65">
        <v>0</v>
      </c>
      <c r="T132" s="65">
        <v>0</v>
      </c>
      <c r="U132" s="65">
        <v>631.91999999999996</v>
      </c>
    </row>
    <row r="133" spans="1:21" s="61" customFormat="1" hidden="1" x14ac:dyDescent="0.25">
      <c r="A133" s="62">
        <v>1148107</v>
      </c>
      <c r="B133" s="61" t="s">
        <v>445</v>
      </c>
      <c r="C133" s="63">
        <v>42424</v>
      </c>
      <c r="D133" s="63">
        <v>42424</v>
      </c>
      <c r="E133" s="61" t="s">
        <v>482</v>
      </c>
      <c r="F133" s="61" t="s">
        <v>452</v>
      </c>
      <c r="G133" s="61" t="s">
        <v>440</v>
      </c>
      <c r="H133" s="61" t="s">
        <v>441</v>
      </c>
      <c r="I133" s="61" t="s">
        <v>442</v>
      </c>
      <c r="J133" s="61" t="s">
        <v>443</v>
      </c>
      <c r="K133" s="61" t="s">
        <v>443</v>
      </c>
      <c r="L133" s="64">
        <v>0</v>
      </c>
      <c r="M133" s="64">
        <v>0</v>
      </c>
      <c r="N133" s="64">
        <v>28.173999999999999</v>
      </c>
      <c r="O133" s="61" t="s">
        <v>444</v>
      </c>
      <c r="P133" s="64">
        <v>60</v>
      </c>
      <c r="Q133" s="65">
        <v>121.28</v>
      </c>
      <c r="R133" s="65">
        <v>29.78</v>
      </c>
      <c r="S133" s="65">
        <v>0</v>
      </c>
      <c r="T133" s="65">
        <v>0</v>
      </c>
      <c r="U133" s="65">
        <v>151.06</v>
      </c>
    </row>
    <row r="134" spans="1:21" s="61" customFormat="1" hidden="1" x14ac:dyDescent="0.25">
      <c r="A134" s="62">
        <v>1147788</v>
      </c>
      <c r="B134" s="61" t="s">
        <v>445</v>
      </c>
      <c r="C134" s="63">
        <v>42422</v>
      </c>
      <c r="D134" s="63">
        <v>42422</v>
      </c>
      <c r="E134" s="61" t="s">
        <v>482</v>
      </c>
      <c r="F134" s="61" t="s">
        <v>452</v>
      </c>
      <c r="G134" s="61" t="s">
        <v>440</v>
      </c>
      <c r="H134" s="61" t="s">
        <v>441</v>
      </c>
      <c r="I134" s="61" t="s">
        <v>442</v>
      </c>
      <c r="J134" s="61" t="s">
        <v>443</v>
      </c>
      <c r="K134" s="61" t="s">
        <v>443</v>
      </c>
      <c r="L134" s="64">
        <v>0</v>
      </c>
      <c r="M134" s="64">
        <v>0</v>
      </c>
      <c r="N134" s="64">
        <v>28.173999999999999</v>
      </c>
      <c r="O134" s="61" t="s">
        <v>444</v>
      </c>
      <c r="P134" s="64">
        <v>132.5</v>
      </c>
      <c r="Q134" s="65">
        <v>485.12</v>
      </c>
      <c r="R134" s="65">
        <v>119.12</v>
      </c>
      <c r="S134" s="65">
        <v>0</v>
      </c>
      <c r="T134" s="65">
        <v>0</v>
      </c>
      <c r="U134" s="65">
        <v>604.24</v>
      </c>
    </row>
    <row r="135" spans="1:21" s="61" customFormat="1" hidden="1" x14ac:dyDescent="0.25">
      <c r="A135" s="62">
        <v>1147787</v>
      </c>
      <c r="B135" s="61" t="s">
        <v>445</v>
      </c>
      <c r="C135" s="63">
        <v>42422</v>
      </c>
      <c r="D135" s="63">
        <v>42422</v>
      </c>
      <c r="E135" s="61" t="s">
        <v>482</v>
      </c>
      <c r="F135" s="61" t="s">
        <v>452</v>
      </c>
      <c r="G135" s="61" t="s">
        <v>440</v>
      </c>
      <c r="H135" s="61" t="s">
        <v>441</v>
      </c>
      <c r="I135" s="61" t="s">
        <v>442</v>
      </c>
      <c r="J135" s="61" t="s">
        <v>443</v>
      </c>
      <c r="K135" s="61" t="s">
        <v>443</v>
      </c>
      <c r="L135" s="64">
        <v>0</v>
      </c>
      <c r="M135" s="64">
        <v>0</v>
      </c>
      <c r="N135" s="64">
        <v>28.173999999999999</v>
      </c>
      <c r="O135" s="61" t="s">
        <v>444</v>
      </c>
      <c r="P135" s="64">
        <v>132.5</v>
      </c>
      <c r="Q135" s="65">
        <v>485.12</v>
      </c>
      <c r="R135" s="65">
        <v>146.80000000000001</v>
      </c>
      <c r="S135" s="65">
        <v>0</v>
      </c>
      <c r="T135" s="65">
        <v>0</v>
      </c>
      <c r="U135" s="65">
        <v>631.91999999999996</v>
      </c>
    </row>
    <row r="136" spans="1:21" s="61" customFormat="1" hidden="1" x14ac:dyDescent="0.25">
      <c r="A136" s="62">
        <v>1142027</v>
      </c>
      <c r="B136" s="61" t="s">
        <v>445</v>
      </c>
      <c r="C136" s="63">
        <v>42397</v>
      </c>
      <c r="D136" s="63">
        <v>42397</v>
      </c>
      <c r="E136" s="61" t="s">
        <v>485</v>
      </c>
      <c r="F136" s="61" t="s">
        <v>452</v>
      </c>
      <c r="G136" s="61" t="s">
        <v>440</v>
      </c>
      <c r="H136" s="61" t="s">
        <v>457</v>
      </c>
      <c r="I136" s="61" t="s">
        <v>442</v>
      </c>
      <c r="J136" s="61" t="s">
        <v>443</v>
      </c>
      <c r="K136" s="61" t="s">
        <v>443</v>
      </c>
      <c r="L136" s="64">
        <v>0</v>
      </c>
      <c r="M136" s="64">
        <v>0</v>
      </c>
      <c r="N136" s="64">
        <v>28.173999999999999</v>
      </c>
      <c r="O136" s="61" t="s">
        <v>444</v>
      </c>
      <c r="P136" s="64">
        <v>4</v>
      </c>
      <c r="Q136" s="65">
        <v>121.28</v>
      </c>
      <c r="R136" s="65">
        <v>29.78</v>
      </c>
      <c r="S136" s="65">
        <v>0</v>
      </c>
      <c r="T136" s="65">
        <v>0</v>
      </c>
      <c r="U136" s="65">
        <v>151.06</v>
      </c>
    </row>
    <row r="137" spans="1:21" s="61" customFormat="1" hidden="1" x14ac:dyDescent="0.25">
      <c r="A137" s="62">
        <v>1137045</v>
      </c>
      <c r="B137" s="61" t="s">
        <v>437</v>
      </c>
      <c r="C137" s="63">
        <v>42375</v>
      </c>
      <c r="D137" s="63">
        <v>42375</v>
      </c>
      <c r="E137" s="61" t="s">
        <v>450</v>
      </c>
      <c r="F137" s="61" t="s">
        <v>459</v>
      </c>
      <c r="G137" s="61" t="s">
        <v>440</v>
      </c>
      <c r="H137" s="61" t="s">
        <v>441</v>
      </c>
      <c r="I137" s="61" t="s">
        <v>442</v>
      </c>
      <c r="J137" s="61" t="s">
        <v>443</v>
      </c>
      <c r="K137" s="61" t="s">
        <v>443</v>
      </c>
      <c r="L137" s="64">
        <v>0</v>
      </c>
      <c r="M137" s="64">
        <v>0</v>
      </c>
      <c r="N137" s="64">
        <v>28.173999999999999</v>
      </c>
      <c r="O137" s="61" t="s">
        <v>444</v>
      </c>
      <c r="P137" s="64">
        <v>50</v>
      </c>
      <c r="Q137" s="65">
        <v>650.44000000000005</v>
      </c>
      <c r="R137" s="65">
        <v>232.24</v>
      </c>
      <c r="S137" s="65">
        <v>1257.01</v>
      </c>
      <c r="T137" s="65">
        <v>0</v>
      </c>
      <c r="U137" s="65">
        <v>2139.69</v>
      </c>
    </row>
    <row r="138" spans="1:21" s="61" customFormat="1" hidden="1" x14ac:dyDescent="0.25">
      <c r="A138" s="62">
        <v>1131228</v>
      </c>
      <c r="B138" s="61" t="s">
        <v>437</v>
      </c>
      <c r="C138" s="63">
        <v>42339</v>
      </c>
      <c r="D138" s="63">
        <v>42342</v>
      </c>
      <c r="E138" s="61" t="s">
        <v>450</v>
      </c>
      <c r="F138" s="61" t="s">
        <v>462</v>
      </c>
      <c r="G138" s="61" t="s">
        <v>440</v>
      </c>
      <c r="H138" s="61" t="s">
        <v>441</v>
      </c>
      <c r="I138" s="61" t="s">
        <v>442</v>
      </c>
      <c r="J138" s="61" t="s">
        <v>443</v>
      </c>
      <c r="K138" s="61" t="s">
        <v>443</v>
      </c>
      <c r="L138" s="64">
        <v>0</v>
      </c>
      <c r="M138" s="64">
        <v>0</v>
      </c>
      <c r="N138" s="64">
        <v>28.173999999999999</v>
      </c>
      <c r="O138" s="61" t="s">
        <v>444</v>
      </c>
      <c r="P138" s="64">
        <v>10</v>
      </c>
      <c r="Q138" s="65">
        <v>367.64</v>
      </c>
      <c r="R138" s="65">
        <v>99.6</v>
      </c>
      <c r="S138" s="65">
        <v>0</v>
      </c>
      <c r="T138" s="65">
        <v>0</v>
      </c>
      <c r="U138" s="65">
        <v>467.24</v>
      </c>
    </row>
    <row r="139" spans="1:21" s="61" customFormat="1" hidden="1" x14ac:dyDescent="0.25">
      <c r="A139" s="62">
        <v>1130095</v>
      </c>
      <c r="B139" s="61" t="s">
        <v>437</v>
      </c>
      <c r="C139" s="63">
        <v>42339</v>
      </c>
      <c r="D139" s="63">
        <v>42339</v>
      </c>
      <c r="E139" s="61" t="s">
        <v>450</v>
      </c>
      <c r="F139" s="61" t="s">
        <v>486</v>
      </c>
      <c r="G139" s="61" t="s">
        <v>440</v>
      </c>
      <c r="H139" s="61" t="s">
        <v>441</v>
      </c>
      <c r="I139" s="61" t="s">
        <v>442</v>
      </c>
      <c r="J139" s="61" t="s">
        <v>443</v>
      </c>
      <c r="K139" s="61" t="s">
        <v>443</v>
      </c>
      <c r="L139" s="64">
        <v>0</v>
      </c>
      <c r="M139" s="64">
        <v>0</v>
      </c>
      <c r="N139" s="64">
        <v>28.173999999999999</v>
      </c>
      <c r="O139" s="61" t="s">
        <v>444</v>
      </c>
      <c r="P139" s="64">
        <v>0</v>
      </c>
      <c r="Q139" s="65">
        <v>0</v>
      </c>
      <c r="R139" s="65">
        <v>0</v>
      </c>
      <c r="S139" s="65">
        <v>0</v>
      </c>
      <c r="T139" s="65">
        <v>0</v>
      </c>
      <c r="U139" s="65">
        <v>0</v>
      </c>
    </row>
    <row r="140" spans="1:21" s="61" customFormat="1" hidden="1" x14ac:dyDescent="0.25">
      <c r="A140" s="62">
        <v>1122461</v>
      </c>
      <c r="B140" s="61" t="s">
        <v>445</v>
      </c>
      <c r="C140" s="63">
        <v>42298</v>
      </c>
      <c r="D140" s="63">
        <v>42298</v>
      </c>
      <c r="E140" s="61" t="s">
        <v>446</v>
      </c>
      <c r="F140" s="61" t="s">
        <v>452</v>
      </c>
      <c r="G140" s="61" t="s">
        <v>440</v>
      </c>
      <c r="H140" s="61" t="s">
        <v>441</v>
      </c>
      <c r="I140" s="61" t="s">
        <v>442</v>
      </c>
      <c r="J140" s="61" t="s">
        <v>443</v>
      </c>
      <c r="K140" s="61" t="s">
        <v>443</v>
      </c>
      <c r="L140" s="64">
        <v>0</v>
      </c>
      <c r="M140" s="64">
        <v>0</v>
      </c>
      <c r="N140" s="64">
        <v>28.173999999999999</v>
      </c>
      <c r="O140" s="61" t="s">
        <v>444</v>
      </c>
      <c r="P140" s="64">
        <v>2</v>
      </c>
      <c r="Q140" s="65">
        <v>58.34</v>
      </c>
      <c r="R140" s="65">
        <v>18.350000000000001</v>
      </c>
      <c r="S140" s="65">
        <v>0</v>
      </c>
      <c r="T140" s="65">
        <v>0</v>
      </c>
      <c r="U140" s="65">
        <v>76.69</v>
      </c>
    </row>
    <row r="141" spans="1:21" s="61" customFormat="1" hidden="1" x14ac:dyDescent="0.25">
      <c r="A141" s="62">
        <v>1112914</v>
      </c>
      <c r="B141" s="61" t="s">
        <v>445</v>
      </c>
      <c r="C141" s="63">
        <v>42257</v>
      </c>
      <c r="D141" s="63">
        <v>42257</v>
      </c>
      <c r="E141" s="61" t="s">
        <v>446</v>
      </c>
      <c r="F141" s="61" t="s">
        <v>452</v>
      </c>
      <c r="G141" s="61" t="s">
        <v>440</v>
      </c>
      <c r="H141" s="61" t="s">
        <v>441</v>
      </c>
      <c r="I141" s="61" t="s">
        <v>442</v>
      </c>
      <c r="J141" s="61" t="s">
        <v>443</v>
      </c>
      <c r="K141" s="61" t="s">
        <v>443</v>
      </c>
      <c r="L141" s="64">
        <v>0</v>
      </c>
      <c r="M141" s="64">
        <v>0</v>
      </c>
      <c r="N141" s="64">
        <v>28.173999999999999</v>
      </c>
      <c r="O141" s="61" t="s">
        <v>444</v>
      </c>
      <c r="P141" s="64">
        <v>7.2</v>
      </c>
      <c r="Q141" s="65">
        <v>56.19</v>
      </c>
      <c r="R141" s="65">
        <v>18.350000000000001</v>
      </c>
      <c r="S141" s="65">
        <v>0</v>
      </c>
      <c r="T141" s="65">
        <v>0</v>
      </c>
      <c r="U141" s="65">
        <v>74.540000000000006</v>
      </c>
    </row>
    <row r="142" spans="1:21" s="61" customFormat="1" hidden="1" x14ac:dyDescent="0.25">
      <c r="A142" s="62">
        <v>1112907</v>
      </c>
      <c r="B142" s="61" t="s">
        <v>445</v>
      </c>
      <c r="C142" s="63">
        <v>42257</v>
      </c>
      <c r="D142" s="63">
        <v>42257</v>
      </c>
      <c r="E142" s="61" t="s">
        <v>487</v>
      </c>
      <c r="F142" s="61" t="s">
        <v>452</v>
      </c>
      <c r="G142" s="61" t="s">
        <v>440</v>
      </c>
      <c r="H142" s="61" t="s">
        <v>488</v>
      </c>
      <c r="I142" s="61" t="s">
        <v>442</v>
      </c>
      <c r="J142" s="61" t="s">
        <v>443</v>
      </c>
      <c r="K142" s="61" t="s">
        <v>443</v>
      </c>
      <c r="L142" s="64">
        <v>0</v>
      </c>
      <c r="M142" s="64">
        <v>0</v>
      </c>
      <c r="N142" s="64">
        <v>28.173999999999999</v>
      </c>
      <c r="O142" s="61" t="s">
        <v>444</v>
      </c>
      <c r="P142" s="64">
        <v>60.8</v>
      </c>
      <c r="Q142" s="65">
        <v>280.95</v>
      </c>
      <c r="R142" s="65">
        <v>91.75</v>
      </c>
      <c r="S142" s="65">
        <v>0</v>
      </c>
      <c r="T142" s="65">
        <v>0</v>
      </c>
      <c r="U142" s="65">
        <v>372.7</v>
      </c>
    </row>
    <row r="143" spans="1:21" s="61" customFormat="1" hidden="1" x14ac:dyDescent="0.25">
      <c r="A143" s="62">
        <v>1109453</v>
      </c>
      <c r="B143" s="61" t="s">
        <v>437</v>
      </c>
      <c r="C143" s="63">
        <v>42243</v>
      </c>
      <c r="D143" s="63">
        <v>42248</v>
      </c>
      <c r="E143" s="61" t="s">
        <v>450</v>
      </c>
      <c r="F143" s="61" t="s">
        <v>456</v>
      </c>
      <c r="G143" s="61" t="s">
        <v>440</v>
      </c>
      <c r="H143" s="61" t="s">
        <v>441</v>
      </c>
      <c r="I143" s="61" t="s">
        <v>442</v>
      </c>
      <c r="J143" s="61" t="s">
        <v>443</v>
      </c>
      <c r="K143" s="61" t="s">
        <v>443</v>
      </c>
      <c r="L143" s="64">
        <v>0</v>
      </c>
      <c r="M143" s="64">
        <v>0</v>
      </c>
      <c r="N143" s="64">
        <v>28.173999999999999</v>
      </c>
      <c r="O143" s="61" t="s">
        <v>444</v>
      </c>
      <c r="P143" s="64">
        <v>300</v>
      </c>
      <c r="Q143" s="65">
        <v>521.91</v>
      </c>
      <c r="R143" s="65">
        <v>269.51</v>
      </c>
      <c r="S143" s="65">
        <v>409.5</v>
      </c>
      <c r="T143" s="65">
        <v>0</v>
      </c>
      <c r="U143" s="65">
        <v>1200.92</v>
      </c>
    </row>
    <row r="144" spans="1:21" s="61" customFormat="1" hidden="1" x14ac:dyDescent="0.25">
      <c r="A144" s="62">
        <v>1108280</v>
      </c>
      <c r="B144" s="61" t="s">
        <v>437</v>
      </c>
      <c r="C144" s="63">
        <v>42234</v>
      </c>
      <c r="D144" s="63">
        <v>42240</v>
      </c>
      <c r="E144" s="61" t="s">
        <v>450</v>
      </c>
      <c r="F144" s="61" t="s">
        <v>462</v>
      </c>
      <c r="G144" s="61" t="s">
        <v>440</v>
      </c>
      <c r="H144" s="61" t="s">
        <v>441</v>
      </c>
      <c r="I144" s="61" t="s">
        <v>442</v>
      </c>
      <c r="J144" s="61" t="s">
        <v>443</v>
      </c>
      <c r="K144" s="61" t="s">
        <v>443</v>
      </c>
      <c r="L144" s="64">
        <v>0</v>
      </c>
      <c r="M144" s="64">
        <v>0</v>
      </c>
      <c r="N144" s="64">
        <v>28.173999999999999</v>
      </c>
      <c r="O144" s="61" t="s">
        <v>444</v>
      </c>
      <c r="P144" s="64">
        <v>8</v>
      </c>
      <c r="Q144" s="65">
        <v>649.20000000000005</v>
      </c>
      <c r="R144" s="65">
        <v>297.33999999999997</v>
      </c>
      <c r="S144" s="65">
        <v>0</v>
      </c>
      <c r="T144" s="65">
        <v>0</v>
      </c>
      <c r="U144" s="65">
        <v>946.54</v>
      </c>
    </row>
    <row r="145" spans="1:21" s="61" customFormat="1" hidden="1" x14ac:dyDescent="0.25">
      <c r="A145" s="62">
        <v>1107156</v>
      </c>
      <c r="B145" s="61" t="s">
        <v>445</v>
      </c>
      <c r="C145" s="63">
        <v>42234</v>
      </c>
      <c r="D145" s="63">
        <v>42234</v>
      </c>
      <c r="E145" s="61" t="s">
        <v>446</v>
      </c>
      <c r="F145" s="61" t="s">
        <v>452</v>
      </c>
      <c r="G145" s="61" t="s">
        <v>440</v>
      </c>
      <c r="H145" s="61" t="s">
        <v>441</v>
      </c>
      <c r="I145" s="61" t="s">
        <v>442</v>
      </c>
      <c r="J145" s="61" t="s">
        <v>443</v>
      </c>
      <c r="K145" s="61" t="s">
        <v>443</v>
      </c>
      <c r="L145" s="64">
        <v>0</v>
      </c>
      <c r="M145" s="64">
        <v>0</v>
      </c>
      <c r="N145" s="64">
        <v>28.173999999999999</v>
      </c>
      <c r="O145" s="61" t="s">
        <v>444</v>
      </c>
      <c r="P145" s="64">
        <v>50</v>
      </c>
      <c r="Q145" s="65">
        <v>195.37</v>
      </c>
      <c r="R145" s="65">
        <v>128.44999999999999</v>
      </c>
      <c r="S145" s="65">
        <v>0</v>
      </c>
      <c r="T145" s="65">
        <v>0</v>
      </c>
      <c r="U145" s="65">
        <v>323.82</v>
      </c>
    </row>
    <row r="146" spans="1:21" s="61" customFormat="1" hidden="1" x14ac:dyDescent="0.25">
      <c r="A146" s="62">
        <v>1099227</v>
      </c>
      <c r="B146" s="61" t="s">
        <v>445</v>
      </c>
      <c r="C146" s="63">
        <v>42206</v>
      </c>
      <c r="D146" s="63">
        <v>42206</v>
      </c>
      <c r="E146" s="61" t="s">
        <v>446</v>
      </c>
      <c r="F146" s="61" t="s">
        <v>452</v>
      </c>
      <c r="G146" s="61" t="s">
        <v>440</v>
      </c>
      <c r="H146" s="61" t="s">
        <v>441</v>
      </c>
      <c r="I146" s="61" t="s">
        <v>442</v>
      </c>
      <c r="J146" s="61" t="s">
        <v>443</v>
      </c>
      <c r="K146" s="61" t="s">
        <v>443</v>
      </c>
      <c r="L146" s="64">
        <v>0</v>
      </c>
      <c r="M146" s="64">
        <v>0</v>
      </c>
      <c r="N146" s="64">
        <v>28.173999999999999</v>
      </c>
      <c r="O146" s="61" t="s">
        <v>444</v>
      </c>
      <c r="P146" s="64">
        <v>10</v>
      </c>
      <c r="Q146" s="65">
        <v>112.38</v>
      </c>
      <c r="R146" s="65">
        <v>36.700000000000003</v>
      </c>
      <c r="S146" s="65">
        <v>0</v>
      </c>
      <c r="T146" s="65">
        <v>0</v>
      </c>
      <c r="U146" s="65">
        <v>149.08000000000001</v>
      </c>
    </row>
    <row r="147" spans="1:21" s="61" customFormat="1" hidden="1" x14ac:dyDescent="0.25">
      <c r="A147" s="62">
        <v>1096157</v>
      </c>
      <c r="B147" s="61" t="s">
        <v>437</v>
      </c>
      <c r="C147" s="63">
        <v>42194</v>
      </c>
      <c r="D147" s="63">
        <v>42195</v>
      </c>
      <c r="E147" s="61" t="s">
        <v>450</v>
      </c>
      <c r="F147" s="61" t="s">
        <v>489</v>
      </c>
      <c r="G147" s="61" t="s">
        <v>475</v>
      </c>
      <c r="H147" s="61" t="s">
        <v>441</v>
      </c>
      <c r="I147" s="61" t="s">
        <v>454</v>
      </c>
      <c r="J147" s="61" t="s">
        <v>443</v>
      </c>
      <c r="K147" s="61" t="s">
        <v>443</v>
      </c>
      <c r="L147" s="64">
        <v>0</v>
      </c>
      <c r="M147" s="64">
        <v>0</v>
      </c>
      <c r="N147" s="64">
        <v>3.4409999999999998</v>
      </c>
      <c r="O147" s="61" t="s">
        <v>444</v>
      </c>
      <c r="P147" s="64">
        <v>1500</v>
      </c>
      <c r="Q147" s="65">
        <v>606.76</v>
      </c>
      <c r="R147" s="65">
        <v>72.2</v>
      </c>
      <c r="S147" s="65">
        <v>0</v>
      </c>
      <c r="T147" s="65">
        <v>0</v>
      </c>
      <c r="U147" s="65">
        <v>678.96</v>
      </c>
    </row>
    <row r="148" spans="1:21" s="61" customFormat="1" hidden="1" x14ac:dyDescent="0.25">
      <c r="A148" s="62">
        <v>1095003</v>
      </c>
      <c r="B148" s="61" t="s">
        <v>445</v>
      </c>
      <c r="C148" s="63">
        <v>42191</v>
      </c>
      <c r="D148" s="63">
        <v>42191</v>
      </c>
      <c r="E148" s="61" t="s">
        <v>446</v>
      </c>
      <c r="F148" s="61" t="s">
        <v>452</v>
      </c>
      <c r="G148" s="61" t="s">
        <v>440</v>
      </c>
      <c r="H148" s="61" t="s">
        <v>441</v>
      </c>
      <c r="I148" s="61" t="s">
        <v>442</v>
      </c>
      <c r="J148" s="61" t="s">
        <v>443</v>
      </c>
      <c r="K148" s="61" t="s">
        <v>443</v>
      </c>
      <c r="L148" s="64">
        <v>0</v>
      </c>
      <c r="M148" s="64">
        <v>0</v>
      </c>
      <c r="N148" s="64">
        <v>28.173999999999999</v>
      </c>
      <c r="O148" s="61" t="s">
        <v>444</v>
      </c>
      <c r="P148" s="64">
        <v>28.8</v>
      </c>
      <c r="Q148" s="65">
        <v>117.3</v>
      </c>
      <c r="R148" s="65">
        <v>36.700000000000003</v>
      </c>
      <c r="S148" s="65">
        <v>0</v>
      </c>
      <c r="T148" s="65">
        <v>0</v>
      </c>
      <c r="U148" s="65">
        <v>154</v>
      </c>
    </row>
    <row r="149" spans="1:21" s="61" customFormat="1" hidden="1" x14ac:dyDescent="0.25">
      <c r="A149" s="62">
        <v>1091024</v>
      </c>
      <c r="B149" s="61" t="s">
        <v>445</v>
      </c>
      <c r="C149" s="63">
        <v>42172</v>
      </c>
      <c r="D149" s="63">
        <v>42172</v>
      </c>
      <c r="E149" s="61" t="s">
        <v>446</v>
      </c>
      <c r="F149" s="61" t="s">
        <v>452</v>
      </c>
      <c r="G149" s="61" t="s">
        <v>440</v>
      </c>
      <c r="H149" s="61" t="s">
        <v>441</v>
      </c>
      <c r="I149" s="61" t="s">
        <v>442</v>
      </c>
      <c r="J149" s="61" t="s">
        <v>443</v>
      </c>
      <c r="K149" s="61" t="s">
        <v>443</v>
      </c>
      <c r="L149" s="64">
        <v>0</v>
      </c>
      <c r="M149" s="64">
        <v>0</v>
      </c>
      <c r="N149" s="64">
        <v>28.173999999999999</v>
      </c>
      <c r="O149" s="61" t="s">
        <v>444</v>
      </c>
      <c r="P149" s="64">
        <v>9</v>
      </c>
      <c r="Q149" s="65">
        <v>175.95</v>
      </c>
      <c r="R149" s="65">
        <v>55.05</v>
      </c>
      <c r="S149" s="65">
        <v>0</v>
      </c>
      <c r="T149" s="65">
        <v>0</v>
      </c>
      <c r="U149" s="65">
        <v>231</v>
      </c>
    </row>
    <row r="150" spans="1:21" s="61" customFormat="1" hidden="1" x14ac:dyDescent="0.25">
      <c r="A150" s="62">
        <v>1090247</v>
      </c>
      <c r="B150" s="61" t="s">
        <v>445</v>
      </c>
      <c r="C150" s="63">
        <v>42170</v>
      </c>
      <c r="D150" s="63">
        <v>42170</v>
      </c>
      <c r="E150" s="61" t="s">
        <v>446</v>
      </c>
      <c r="F150" s="61" t="s">
        <v>452</v>
      </c>
      <c r="G150" s="61" t="s">
        <v>440</v>
      </c>
      <c r="H150" s="61" t="s">
        <v>441</v>
      </c>
      <c r="I150" s="61" t="s">
        <v>442</v>
      </c>
      <c r="J150" s="61" t="s">
        <v>443</v>
      </c>
      <c r="K150" s="61" t="s">
        <v>443</v>
      </c>
      <c r="L150" s="64">
        <v>0</v>
      </c>
      <c r="M150" s="64">
        <v>0</v>
      </c>
      <c r="N150" s="64">
        <v>28.173999999999999</v>
      </c>
      <c r="O150" s="61" t="s">
        <v>444</v>
      </c>
      <c r="P150" s="64">
        <v>56</v>
      </c>
      <c r="Q150" s="65">
        <v>410.55</v>
      </c>
      <c r="R150" s="65">
        <v>128.44999999999999</v>
      </c>
      <c r="S150" s="65">
        <v>0</v>
      </c>
      <c r="T150" s="65">
        <v>0</v>
      </c>
      <c r="U150" s="65">
        <v>539</v>
      </c>
    </row>
    <row r="151" spans="1:21" s="61" customFormat="1" hidden="1" x14ac:dyDescent="0.25">
      <c r="A151" s="62">
        <v>1089294</v>
      </c>
      <c r="B151" s="61" t="s">
        <v>437</v>
      </c>
      <c r="C151" s="63">
        <v>42165</v>
      </c>
      <c r="D151" s="63">
        <v>42166</v>
      </c>
      <c r="E151" s="61" t="s">
        <v>450</v>
      </c>
      <c r="F151" s="61" t="s">
        <v>489</v>
      </c>
      <c r="G151" s="61" t="s">
        <v>467</v>
      </c>
      <c r="H151" s="61" t="s">
        <v>441</v>
      </c>
      <c r="I151" s="61" t="s">
        <v>442</v>
      </c>
      <c r="J151" s="61" t="s">
        <v>443</v>
      </c>
      <c r="K151" s="61" t="s">
        <v>443</v>
      </c>
      <c r="L151" s="64">
        <v>0</v>
      </c>
      <c r="M151" s="64">
        <v>31</v>
      </c>
      <c r="N151" s="64">
        <v>35</v>
      </c>
      <c r="O151" s="61" t="s">
        <v>444</v>
      </c>
      <c r="P151" s="64">
        <v>1000</v>
      </c>
      <c r="Q151" s="65">
        <v>897.28</v>
      </c>
      <c r="R151" s="65">
        <v>139.04</v>
      </c>
      <c r="S151" s="65">
        <v>0</v>
      </c>
      <c r="T151" s="65">
        <v>0</v>
      </c>
      <c r="U151" s="65">
        <v>1036.32</v>
      </c>
    </row>
    <row r="152" spans="1:21" s="61" customFormat="1" hidden="1" x14ac:dyDescent="0.25">
      <c r="A152" s="62">
        <v>1081160</v>
      </c>
      <c r="B152" s="61" t="s">
        <v>445</v>
      </c>
      <c r="C152" s="63">
        <v>42131</v>
      </c>
      <c r="D152" s="63">
        <v>42131</v>
      </c>
      <c r="E152" s="61" t="s">
        <v>446</v>
      </c>
      <c r="F152" s="61" t="s">
        <v>452</v>
      </c>
      <c r="G152" s="61" t="s">
        <v>440</v>
      </c>
      <c r="H152" s="61" t="s">
        <v>441</v>
      </c>
      <c r="I152" s="61" t="s">
        <v>442</v>
      </c>
      <c r="J152" s="61" t="s">
        <v>443</v>
      </c>
      <c r="K152" s="61" t="s">
        <v>443</v>
      </c>
      <c r="L152" s="64">
        <v>0</v>
      </c>
      <c r="M152" s="64">
        <v>0</v>
      </c>
      <c r="N152" s="64">
        <v>28.173999999999999</v>
      </c>
      <c r="O152" s="61" t="s">
        <v>444</v>
      </c>
      <c r="P152" s="64">
        <v>4</v>
      </c>
      <c r="Q152" s="65">
        <v>119.36</v>
      </c>
      <c r="R152" s="65">
        <v>36.700000000000003</v>
      </c>
      <c r="S152" s="65">
        <v>0</v>
      </c>
      <c r="T152" s="65">
        <v>0</v>
      </c>
      <c r="U152" s="65">
        <v>156.06</v>
      </c>
    </row>
    <row r="153" spans="1:21" s="61" customFormat="1" hidden="1" x14ac:dyDescent="0.25">
      <c r="A153" s="62">
        <v>1080743</v>
      </c>
      <c r="B153" s="61" t="s">
        <v>437</v>
      </c>
      <c r="C153" s="63">
        <v>42131</v>
      </c>
      <c r="D153" s="63">
        <v>42150</v>
      </c>
      <c r="E153" s="61" t="s">
        <v>450</v>
      </c>
      <c r="F153" s="61" t="s">
        <v>490</v>
      </c>
      <c r="G153" s="61" t="s">
        <v>440</v>
      </c>
      <c r="H153" s="61" t="s">
        <v>441</v>
      </c>
      <c r="I153" s="61" t="s">
        <v>442</v>
      </c>
      <c r="J153" s="61" t="s">
        <v>443</v>
      </c>
      <c r="K153" s="61" t="s">
        <v>443</v>
      </c>
      <c r="L153" s="64">
        <v>0</v>
      </c>
      <c r="M153" s="64">
        <v>0</v>
      </c>
      <c r="N153" s="64">
        <v>28.173999999999999</v>
      </c>
      <c r="O153" s="61" t="s">
        <v>444</v>
      </c>
      <c r="P153" s="64">
        <v>31680</v>
      </c>
      <c r="Q153" s="65">
        <v>3100</v>
      </c>
      <c r="R153" s="65">
        <v>432.9</v>
      </c>
      <c r="S153" s="65">
        <v>0</v>
      </c>
      <c r="T153" s="65">
        <v>0</v>
      </c>
      <c r="U153" s="65">
        <v>3532.9</v>
      </c>
    </row>
    <row r="154" spans="1:21" s="61" customFormat="1" hidden="1" x14ac:dyDescent="0.25">
      <c r="A154" s="62">
        <v>1080501</v>
      </c>
      <c r="B154" s="61" t="s">
        <v>437</v>
      </c>
      <c r="C154" s="63">
        <v>42130</v>
      </c>
      <c r="D154" s="63">
        <v>42130</v>
      </c>
      <c r="E154" s="61" t="s">
        <v>450</v>
      </c>
      <c r="F154" s="61" t="s">
        <v>491</v>
      </c>
      <c r="G154" s="61" t="s">
        <v>440</v>
      </c>
      <c r="H154" s="61" t="s">
        <v>441</v>
      </c>
      <c r="I154" s="61" t="s">
        <v>442</v>
      </c>
      <c r="J154" s="61" t="s">
        <v>443</v>
      </c>
      <c r="K154" s="61" t="s">
        <v>443</v>
      </c>
      <c r="L154" s="64">
        <v>0</v>
      </c>
      <c r="M154" s="64">
        <v>0</v>
      </c>
      <c r="N154" s="64">
        <v>28.173999999999999</v>
      </c>
      <c r="O154" s="61" t="s">
        <v>444</v>
      </c>
      <c r="P154" s="64">
        <v>6</v>
      </c>
      <c r="Q154" s="65">
        <v>1213.52</v>
      </c>
      <c r="R154" s="65">
        <v>286.08</v>
      </c>
      <c r="S154" s="65">
        <v>0</v>
      </c>
      <c r="T154" s="65">
        <v>0</v>
      </c>
      <c r="U154" s="65">
        <v>1499.6</v>
      </c>
    </row>
    <row r="155" spans="1:21" s="61" customFormat="1" hidden="1" x14ac:dyDescent="0.25">
      <c r="A155" s="62">
        <v>1080435</v>
      </c>
      <c r="B155" s="61" t="s">
        <v>445</v>
      </c>
      <c r="C155" s="63">
        <v>42129</v>
      </c>
      <c r="D155" s="63">
        <v>42129</v>
      </c>
      <c r="E155" s="61" t="s">
        <v>446</v>
      </c>
      <c r="F155" s="61" t="s">
        <v>452</v>
      </c>
      <c r="G155" s="61" t="s">
        <v>440</v>
      </c>
      <c r="H155" s="61" t="s">
        <v>441</v>
      </c>
      <c r="I155" s="61" t="s">
        <v>442</v>
      </c>
      <c r="J155" s="61" t="s">
        <v>443</v>
      </c>
      <c r="K155" s="61" t="s">
        <v>443</v>
      </c>
      <c r="L155" s="64">
        <v>0</v>
      </c>
      <c r="M155" s="64">
        <v>0</v>
      </c>
      <c r="N155" s="64">
        <v>28.173999999999999</v>
      </c>
      <c r="O155" s="61" t="s">
        <v>444</v>
      </c>
      <c r="P155" s="64">
        <v>14</v>
      </c>
      <c r="Q155" s="65">
        <v>358.08</v>
      </c>
      <c r="R155" s="65">
        <v>110.1</v>
      </c>
      <c r="S155" s="65">
        <v>0</v>
      </c>
      <c r="T155" s="65">
        <v>0</v>
      </c>
      <c r="U155" s="65">
        <v>468.18</v>
      </c>
    </row>
    <row r="156" spans="1:21" s="61" customFormat="1" hidden="1" x14ac:dyDescent="0.25">
      <c r="A156" s="62">
        <v>1075362</v>
      </c>
      <c r="B156" s="61" t="s">
        <v>445</v>
      </c>
      <c r="C156" s="63">
        <v>42109</v>
      </c>
      <c r="D156" s="63">
        <v>42109</v>
      </c>
      <c r="E156" s="61" t="s">
        <v>446</v>
      </c>
      <c r="F156" s="61" t="s">
        <v>452</v>
      </c>
      <c r="G156" s="61" t="s">
        <v>440</v>
      </c>
      <c r="H156" s="61" t="s">
        <v>441</v>
      </c>
      <c r="I156" s="61" t="s">
        <v>442</v>
      </c>
      <c r="J156" s="61" t="s">
        <v>443</v>
      </c>
      <c r="K156" s="61" t="s">
        <v>443</v>
      </c>
      <c r="L156" s="64">
        <v>0</v>
      </c>
      <c r="M156" s="64">
        <v>0</v>
      </c>
      <c r="N156" s="64">
        <v>28.173999999999999</v>
      </c>
      <c r="O156" s="61" t="s">
        <v>444</v>
      </c>
      <c r="P156" s="64">
        <v>51</v>
      </c>
      <c r="Q156" s="65">
        <v>477.44</v>
      </c>
      <c r="R156" s="65">
        <v>146.80000000000001</v>
      </c>
      <c r="S156" s="65">
        <v>0</v>
      </c>
      <c r="T156" s="65">
        <v>0</v>
      </c>
      <c r="U156" s="65">
        <v>624.24</v>
      </c>
    </row>
    <row r="157" spans="1:21" s="61" customFormat="1" hidden="1" x14ac:dyDescent="0.25">
      <c r="A157" s="62">
        <v>1072593</v>
      </c>
      <c r="B157" s="61" t="s">
        <v>437</v>
      </c>
      <c r="C157" s="63">
        <v>42101</v>
      </c>
      <c r="D157" s="63">
        <v>42101</v>
      </c>
      <c r="E157" s="61" t="s">
        <v>450</v>
      </c>
      <c r="F157" s="61" t="s">
        <v>490</v>
      </c>
      <c r="G157" s="61" t="s">
        <v>440</v>
      </c>
      <c r="H157" s="61" t="s">
        <v>441</v>
      </c>
      <c r="I157" s="61" t="s">
        <v>442</v>
      </c>
      <c r="J157" s="61" t="s">
        <v>443</v>
      </c>
      <c r="K157" s="61" t="s">
        <v>443</v>
      </c>
      <c r="L157" s="64">
        <v>0</v>
      </c>
      <c r="M157" s="64">
        <v>26</v>
      </c>
      <c r="N157" s="64">
        <v>28.17</v>
      </c>
      <c r="O157" s="61" t="s">
        <v>444</v>
      </c>
      <c r="P157" s="64">
        <v>2000</v>
      </c>
      <c r="Q157" s="65">
        <v>1461.21</v>
      </c>
      <c r="R157" s="65">
        <v>182.24</v>
      </c>
      <c r="S157" s="65">
        <v>0</v>
      </c>
      <c r="T157" s="65">
        <v>0</v>
      </c>
      <c r="U157" s="65">
        <v>1643.45</v>
      </c>
    </row>
    <row r="158" spans="1:21" s="61" customFormat="1" hidden="1" x14ac:dyDescent="0.25">
      <c r="A158" s="62">
        <v>1070221</v>
      </c>
      <c r="B158" s="61" t="s">
        <v>445</v>
      </c>
      <c r="C158" s="63">
        <v>42088</v>
      </c>
      <c r="D158" s="63">
        <v>42088</v>
      </c>
      <c r="E158" s="61" t="s">
        <v>492</v>
      </c>
      <c r="F158" s="61" t="s">
        <v>452</v>
      </c>
      <c r="G158" s="61" t="s">
        <v>440</v>
      </c>
      <c r="H158" s="61" t="s">
        <v>441</v>
      </c>
      <c r="I158" s="61" t="s">
        <v>442</v>
      </c>
      <c r="J158" s="61" t="s">
        <v>443</v>
      </c>
      <c r="K158" s="61" t="s">
        <v>443</v>
      </c>
      <c r="L158" s="64">
        <v>0</v>
      </c>
      <c r="M158" s="64">
        <v>0</v>
      </c>
      <c r="N158" s="64">
        <v>28.173999999999999</v>
      </c>
      <c r="O158" s="61" t="s">
        <v>444</v>
      </c>
      <c r="P158" s="64">
        <v>50</v>
      </c>
      <c r="Q158" s="65">
        <v>2215.98</v>
      </c>
      <c r="R158" s="65">
        <v>432.12</v>
      </c>
      <c r="S158" s="65">
        <v>0</v>
      </c>
      <c r="T158" s="65">
        <v>0</v>
      </c>
      <c r="U158" s="65">
        <v>2648.1</v>
      </c>
    </row>
    <row r="159" spans="1:21" s="61" customFormat="1" hidden="1" x14ac:dyDescent="0.25">
      <c r="A159" s="62">
        <v>1070218</v>
      </c>
      <c r="B159" s="61" t="s">
        <v>445</v>
      </c>
      <c r="C159" s="63">
        <v>42087</v>
      </c>
      <c r="D159" s="63">
        <v>42087</v>
      </c>
      <c r="E159" s="61" t="s">
        <v>492</v>
      </c>
      <c r="F159" s="61" t="s">
        <v>452</v>
      </c>
      <c r="G159" s="61" t="s">
        <v>440</v>
      </c>
      <c r="H159" s="61" t="s">
        <v>441</v>
      </c>
      <c r="I159" s="61" t="s">
        <v>442</v>
      </c>
      <c r="J159" s="61" t="s">
        <v>443</v>
      </c>
      <c r="K159" s="61" t="s">
        <v>443</v>
      </c>
      <c r="L159" s="64">
        <v>0</v>
      </c>
      <c r="M159" s="64">
        <v>0</v>
      </c>
      <c r="N159" s="64">
        <v>28.173999999999999</v>
      </c>
      <c r="O159" s="61" t="s">
        <v>444</v>
      </c>
      <c r="P159" s="64">
        <v>55</v>
      </c>
      <c r="Q159" s="65">
        <v>2215.98</v>
      </c>
      <c r="R159" s="65">
        <v>432.12</v>
      </c>
      <c r="S159" s="65">
        <v>0</v>
      </c>
      <c r="T159" s="65">
        <v>0</v>
      </c>
      <c r="U159" s="65">
        <v>2648.1</v>
      </c>
    </row>
    <row r="160" spans="1:21" s="61" customFormat="1" hidden="1" x14ac:dyDescent="0.25">
      <c r="A160" s="62">
        <v>1056599</v>
      </c>
      <c r="B160" s="61" t="s">
        <v>445</v>
      </c>
      <c r="C160" s="63">
        <v>42010</v>
      </c>
      <c r="D160" s="63">
        <v>42010</v>
      </c>
      <c r="E160" s="61" t="s">
        <v>485</v>
      </c>
      <c r="F160" s="61" t="s">
        <v>452</v>
      </c>
      <c r="G160" s="61" t="s">
        <v>440</v>
      </c>
      <c r="H160" s="61" t="s">
        <v>457</v>
      </c>
      <c r="I160" s="61" t="s">
        <v>442</v>
      </c>
      <c r="J160" s="61" t="s">
        <v>443</v>
      </c>
      <c r="K160" s="61" t="s">
        <v>443</v>
      </c>
      <c r="L160" s="64">
        <v>0</v>
      </c>
      <c r="M160" s="64">
        <v>0</v>
      </c>
      <c r="N160" s="64">
        <v>28.173999999999999</v>
      </c>
      <c r="O160" s="61" t="s">
        <v>444</v>
      </c>
      <c r="P160" s="64">
        <v>15</v>
      </c>
      <c r="Q160" s="65">
        <v>103.2</v>
      </c>
      <c r="R160" s="65">
        <v>29.78</v>
      </c>
      <c r="S160" s="65">
        <v>0</v>
      </c>
      <c r="T160" s="65">
        <v>0</v>
      </c>
      <c r="U160" s="65">
        <v>132.97999999999999</v>
      </c>
    </row>
    <row r="161" spans="1:21" s="61" customFormat="1" hidden="1" x14ac:dyDescent="0.25">
      <c r="A161" s="62">
        <v>1050898</v>
      </c>
      <c r="B161" s="61" t="s">
        <v>445</v>
      </c>
      <c r="C161" s="63">
        <v>41962</v>
      </c>
      <c r="D161" s="63">
        <v>41962</v>
      </c>
      <c r="E161" s="61" t="s">
        <v>485</v>
      </c>
      <c r="F161" s="61" t="s">
        <v>452</v>
      </c>
      <c r="G161" s="61" t="s">
        <v>493</v>
      </c>
      <c r="H161" s="61" t="s">
        <v>457</v>
      </c>
      <c r="I161" s="61" t="s">
        <v>442</v>
      </c>
      <c r="J161" s="61" t="s">
        <v>443</v>
      </c>
      <c r="K161" s="61" t="s">
        <v>443</v>
      </c>
      <c r="L161" s="64">
        <v>0</v>
      </c>
      <c r="M161" s="64">
        <v>0</v>
      </c>
      <c r="N161" s="64">
        <v>28.173999999999999</v>
      </c>
      <c r="O161" s="61" t="s">
        <v>444</v>
      </c>
      <c r="P161" s="64">
        <v>7.25</v>
      </c>
      <c r="Q161" s="65">
        <v>179.52</v>
      </c>
      <c r="R161" s="65">
        <v>55.05</v>
      </c>
      <c r="S161" s="65">
        <v>0</v>
      </c>
      <c r="T161" s="65">
        <v>0</v>
      </c>
      <c r="U161" s="65">
        <v>234.57</v>
      </c>
    </row>
    <row r="162" spans="1:21" s="61" customFormat="1" hidden="1" x14ac:dyDescent="0.25">
      <c r="A162" s="62">
        <v>1049119</v>
      </c>
      <c r="B162" s="61" t="s">
        <v>445</v>
      </c>
      <c r="C162" s="63">
        <v>41949</v>
      </c>
      <c r="D162" s="63">
        <v>41949</v>
      </c>
      <c r="E162" s="61" t="s">
        <v>485</v>
      </c>
      <c r="F162" s="61" t="s">
        <v>452</v>
      </c>
      <c r="G162" s="61" t="s">
        <v>475</v>
      </c>
      <c r="H162" s="61" t="s">
        <v>457</v>
      </c>
      <c r="I162" s="61" t="s">
        <v>454</v>
      </c>
      <c r="J162" s="61" t="s">
        <v>443</v>
      </c>
      <c r="K162" s="61" t="s">
        <v>443</v>
      </c>
      <c r="L162" s="64">
        <v>0</v>
      </c>
      <c r="M162" s="64">
        <v>0</v>
      </c>
      <c r="N162" s="64">
        <v>3.4409999999999998</v>
      </c>
      <c r="O162" s="61" t="s">
        <v>444</v>
      </c>
      <c r="P162" s="64">
        <v>9</v>
      </c>
      <c r="Q162" s="65">
        <v>119.68</v>
      </c>
      <c r="R162" s="65">
        <v>36.700000000000003</v>
      </c>
      <c r="S162" s="65">
        <v>0</v>
      </c>
      <c r="T162" s="65">
        <v>0</v>
      </c>
      <c r="U162" s="65">
        <v>156.38</v>
      </c>
    </row>
    <row r="163" spans="1:21" s="61" customFormat="1" hidden="1" x14ac:dyDescent="0.25">
      <c r="A163" s="62">
        <v>1031248</v>
      </c>
      <c r="B163" s="61" t="s">
        <v>445</v>
      </c>
      <c r="C163" s="63">
        <v>41858</v>
      </c>
      <c r="D163" s="63">
        <v>41858</v>
      </c>
      <c r="E163" s="61" t="s">
        <v>446</v>
      </c>
      <c r="F163" s="61" t="s">
        <v>452</v>
      </c>
      <c r="G163" s="61" t="s">
        <v>493</v>
      </c>
      <c r="H163" s="61" t="s">
        <v>441</v>
      </c>
      <c r="I163" s="61" t="s">
        <v>442</v>
      </c>
      <c r="J163" s="61" t="s">
        <v>443</v>
      </c>
      <c r="K163" s="61" t="s">
        <v>443</v>
      </c>
      <c r="L163" s="64">
        <v>0</v>
      </c>
      <c r="M163" s="64">
        <v>0</v>
      </c>
      <c r="N163" s="64">
        <v>28.173999999999999</v>
      </c>
      <c r="O163" s="61" t="s">
        <v>444</v>
      </c>
      <c r="P163" s="64">
        <v>30</v>
      </c>
      <c r="Q163" s="65">
        <v>166.8</v>
      </c>
      <c r="R163" s="65">
        <v>44.91</v>
      </c>
      <c r="S163" s="65">
        <v>0</v>
      </c>
      <c r="T163" s="65">
        <v>0</v>
      </c>
      <c r="U163" s="65">
        <v>211.71</v>
      </c>
    </row>
    <row r="164" spans="1:21" s="61" customFormat="1" hidden="1" x14ac:dyDescent="0.25">
      <c r="A164" s="62">
        <v>1027660</v>
      </c>
      <c r="B164" s="61" t="s">
        <v>445</v>
      </c>
      <c r="C164" s="63">
        <v>41842</v>
      </c>
      <c r="D164" s="63">
        <v>41842</v>
      </c>
      <c r="E164" s="61" t="s">
        <v>446</v>
      </c>
      <c r="F164" s="61" t="s">
        <v>452</v>
      </c>
      <c r="G164" s="61" t="s">
        <v>475</v>
      </c>
      <c r="H164" s="61" t="s">
        <v>441</v>
      </c>
      <c r="I164" s="61" t="s">
        <v>454</v>
      </c>
      <c r="J164" s="61" t="s">
        <v>443</v>
      </c>
      <c r="K164" s="61" t="s">
        <v>443</v>
      </c>
      <c r="L164" s="64">
        <v>0</v>
      </c>
      <c r="M164" s="64">
        <v>0</v>
      </c>
      <c r="N164" s="64">
        <v>3.4409999999999998</v>
      </c>
      <c r="O164" s="61" t="s">
        <v>444</v>
      </c>
      <c r="P164" s="64">
        <v>24</v>
      </c>
      <c r="Q164" s="65">
        <v>56.24</v>
      </c>
      <c r="R164" s="65">
        <v>29.94</v>
      </c>
      <c r="S164" s="65">
        <v>0</v>
      </c>
      <c r="T164" s="65">
        <v>0</v>
      </c>
      <c r="U164" s="65">
        <v>86.18</v>
      </c>
    </row>
    <row r="165" spans="1:21" s="61" customFormat="1" hidden="1" x14ac:dyDescent="0.25">
      <c r="A165" s="62">
        <v>1021796</v>
      </c>
      <c r="B165" s="61" t="s">
        <v>445</v>
      </c>
      <c r="C165" s="63">
        <v>41815</v>
      </c>
      <c r="D165" s="63">
        <v>41815</v>
      </c>
      <c r="E165" s="61" t="s">
        <v>446</v>
      </c>
      <c r="F165" s="61" t="s">
        <v>494</v>
      </c>
      <c r="G165" s="61" t="s">
        <v>493</v>
      </c>
      <c r="H165" s="61" t="s">
        <v>441</v>
      </c>
      <c r="I165" s="61" t="s">
        <v>442</v>
      </c>
      <c r="J165" s="61" t="s">
        <v>443</v>
      </c>
      <c r="K165" s="61" t="s">
        <v>443</v>
      </c>
      <c r="L165" s="64">
        <v>0</v>
      </c>
      <c r="M165" s="64">
        <v>0</v>
      </c>
      <c r="N165" s="64">
        <v>28.173999999999999</v>
      </c>
      <c r="O165" s="61" t="s">
        <v>444</v>
      </c>
      <c r="P165" s="64">
        <v>1720</v>
      </c>
      <c r="Q165" s="65">
        <v>1710.4</v>
      </c>
      <c r="R165" s="65">
        <v>578.9</v>
      </c>
      <c r="S165" s="65">
        <v>0</v>
      </c>
      <c r="T165" s="65">
        <v>0</v>
      </c>
      <c r="U165" s="65">
        <v>2289.3000000000002</v>
      </c>
    </row>
    <row r="166" spans="1:21" s="61" customFormat="1" hidden="1" x14ac:dyDescent="0.25">
      <c r="A166" s="62">
        <v>1005974</v>
      </c>
      <c r="B166" s="61" t="s">
        <v>445</v>
      </c>
      <c r="C166" s="63">
        <v>41738</v>
      </c>
      <c r="D166" s="63">
        <v>41738</v>
      </c>
      <c r="E166" s="61" t="s">
        <v>446</v>
      </c>
      <c r="F166" s="61" t="s">
        <v>452</v>
      </c>
      <c r="G166" s="61" t="s">
        <v>493</v>
      </c>
      <c r="H166" s="61" t="s">
        <v>441</v>
      </c>
      <c r="I166" s="61" t="s">
        <v>442</v>
      </c>
      <c r="J166" s="61" t="s">
        <v>443</v>
      </c>
      <c r="K166" s="61" t="s">
        <v>443</v>
      </c>
      <c r="L166" s="64">
        <v>0</v>
      </c>
      <c r="M166" s="64">
        <v>0</v>
      </c>
      <c r="N166" s="64">
        <v>28.173999999999999</v>
      </c>
      <c r="O166" s="61" t="s">
        <v>444</v>
      </c>
      <c r="P166" s="64">
        <v>18</v>
      </c>
      <c r="Q166" s="65">
        <v>463.46</v>
      </c>
      <c r="R166" s="65">
        <v>89.82</v>
      </c>
      <c r="S166" s="65">
        <v>0</v>
      </c>
      <c r="T166" s="65">
        <v>0</v>
      </c>
      <c r="U166" s="65">
        <v>553.28</v>
      </c>
    </row>
    <row r="167" spans="1:21" s="61" customFormat="1" hidden="1" x14ac:dyDescent="0.25">
      <c r="A167" s="62">
        <v>1001134</v>
      </c>
      <c r="B167" s="61" t="s">
        <v>445</v>
      </c>
      <c r="C167" s="63">
        <v>41715</v>
      </c>
      <c r="D167" s="63">
        <v>41715</v>
      </c>
      <c r="E167" s="61" t="s">
        <v>446</v>
      </c>
      <c r="F167" s="61" t="s">
        <v>452</v>
      </c>
      <c r="G167" s="61" t="s">
        <v>493</v>
      </c>
      <c r="H167" s="61" t="s">
        <v>441</v>
      </c>
      <c r="I167" s="61" t="s">
        <v>442</v>
      </c>
      <c r="J167" s="61" t="s">
        <v>443</v>
      </c>
      <c r="K167" s="61" t="s">
        <v>443</v>
      </c>
      <c r="L167" s="64">
        <v>0</v>
      </c>
      <c r="M167" s="64">
        <v>0</v>
      </c>
      <c r="N167" s="64">
        <v>28.173999999999999</v>
      </c>
      <c r="O167" s="61" t="s">
        <v>444</v>
      </c>
      <c r="P167" s="64">
        <v>6.25</v>
      </c>
      <c r="Q167" s="65">
        <v>103.2</v>
      </c>
      <c r="R167" s="65">
        <v>29.94</v>
      </c>
      <c r="S167" s="65">
        <v>0</v>
      </c>
      <c r="T167" s="65">
        <v>0</v>
      </c>
      <c r="U167" s="65">
        <v>133.13999999999999</v>
      </c>
    </row>
    <row r="168" spans="1:21" s="61" customFormat="1" hidden="1" x14ac:dyDescent="0.25">
      <c r="A168" s="62">
        <v>977803</v>
      </c>
      <c r="B168" s="61" t="s">
        <v>445</v>
      </c>
      <c r="C168" s="63">
        <v>41562</v>
      </c>
      <c r="D168" s="63">
        <v>41562</v>
      </c>
      <c r="E168" s="61" t="s">
        <v>446</v>
      </c>
      <c r="F168" s="61" t="s">
        <v>452</v>
      </c>
      <c r="G168" s="61" t="s">
        <v>493</v>
      </c>
      <c r="H168" s="61" t="s">
        <v>441</v>
      </c>
      <c r="I168" s="61" t="s">
        <v>442</v>
      </c>
      <c r="J168" s="61" t="s">
        <v>443</v>
      </c>
      <c r="K168" s="61" t="s">
        <v>443</v>
      </c>
      <c r="L168" s="64">
        <v>0</v>
      </c>
      <c r="M168" s="64">
        <v>17.994</v>
      </c>
      <c r="N168" s="64">
        <v>17.994</v>
      </c>
      <c r="O168" s="61" t="s">
        <v>444</v>
      </c>
      <c r="P168" s="64">
        <v>6</v>
      </c>
      <c r="Q168" s="65">
        <v>154.80000000000001</v>
      </c>
      <c r="R168" s="65">
        <v>44.91</v>
      </c>
      <c r="S168" s="65">
        <v>0</v>
      </c>
      <c r="T168" s="65">
        <v>0</v>
      </c>
      <c r="U168" s="65">
        <v>199.71</v>
      </c>
    </row>
    <row r="169" spans="1:21" s="61" customFormat="1" hidden="1" x14ac:dyDescent="0.25">
      <c r="A169" s="62">
        <v>976277</v>
      </c>
      <c r="B169" s="61" t="s">
        <v>445</v>
      </c>
      <c r="C169" s="63">
        <v>41555</v>
      </c>
      <c r="D169" s="63">
        <v>41555</v>
      </c>
      <c r="E169" s="61" t="s">
        <v>446</v>
      </c>
      <c r="F169" s="61" t="s">
        <v>452</v>
      </c>
      <c r="G169" s="61" t="s">
        <v>493</v>
      </c>
      <c r="H169" s="61" t="s">
        <v>441</v>
      </c>
      <c r="I169" s="61" t="s">
        <v>442</v>
      </c>
      <c r="J169" s="61" t="s">
        <v>443</v>
      </c>
      <c r="K169" s="61" t="s">
        <v>443</v>
      </c>
      <c r="L169" s="64">
        <v>0</v>
      </c>
      <c r="M169" s="64">
        <v>0</v>
      </c>
      <c r="N169" s="64">
        <v>28.173999999999999</v>
      </c>
      <c r="O169" s="61" t="s">
        <v>444</v>
      </c>
      <c r="P169" s="64">
        <v>4</v>
      </c>
      <c r="Q169" s="65">
        <v>103.2</v>
      </c>
      <c r="R169" s="65">
        <v>29.94</v>
      </c>
      <c r="S169" s="65">
        <v>0</v>
      </c>
      <c r="T169" s="65">
        <v>0</v>
      </c>
      <c r="U169" s="65">
        <v>133.13999999999999</v>
      </c>
    </row>
    <row r="170" spans="1:21" s="61" customFormat="1" hidden="1" x14ac:dyDescent="0.25">
      <c r="A170" s="62">
        <v>965543</v>
      </c>
      <c r="B170" s="61" t="s">
        <v>445</v>
      </c>
      <c r="C170" s="63">
        <v>41506</v>
      </c>
      <c r="D170" s="63">
        <v>41506</v>
      </c>
      <c r="E170" s="61" t="s">
        <v>446</v>
      </c>
      <c r="F170" s="61" t="s">
        <v>494</v>
      </c>
      <c r="G170" s="61" t="s">
        <v>493</v>
      </c>
      <c r="H170" s="61" t="s">
        <v>441</v>
      </c>
      <c r="I170" s="61" t="s">
        <v>442</v>
      </c>
      <c r="J170" s="61" t="s">
        <v>443</v>
      </c>
      <c r="K170" s="61" t="s">
        <v>443</v>
      </c>
      <c r="L170" s="64">
        <v>0</v>
      </c>
      <c r="M170" s="64">
        <v>0</v>
      </c>
      <c r="N170" s="64">
        <v>28.173999999999999</v>
      </c>
      <c r="O170" s="61" t="s">
        <v>444</v>
      </c>
      <c r="P170" s="64">
        <v>725</v>
      </c>
      <c r="Q170" s="65">
        <v>1006.4</v>
      </c>
      <c r="R170" s="65">
        <v>785.4</v>
      </c>
      <c r="S170" s="65">
        <v>0</v>
      </c>
      <c r="T170" s="65">
        <v>0</v>
      </c>
      <c r="U170" s="65">
        <v>1791.8</v>
      </c>
    </row>
    <row r="171" spans="1:21" s="61" customFormat="1" hidden="1" x14ac:dyDescent="0.25">
      <c r="A171" s="62">
        <v>954950</v>
      </c>
      <c r="B171" s="61" t="s">
        <v>445</v>
      </c>
      <c r="C171" s="63">
        <v>41464</v>
      </c>
      <c r="D171" s="63">
        <v>41464</v>
      </c>
      <c r="E171" s="61" t="s">
        <v>446</v>
      </c>
      <c r="F171" s="61" t="s">
        <v>452</v>
      </c>
      <c r="G171" s="61" t="s">
        <v>493</v>
      </c>
      <c r="H171" s="61" t="s">
        <v>441</v>
      </c>
      <c r="I171" s="61" t="s">
        <v>442</v>
      </c>
      <c r="J171" s="61" t="s">
        <v>443</v>
      </c>
      <c r="K171" s="61" t="s">
        <v>443</v>
      </c>
      <c r="L171" s="64">
        <v>0</v>
      </c>
      <c r="M171" s="64">
        <v>0</v>
      </c>
      <c r="N171" s="64">
        <v>28.173999999999999</v>
      </c>
      <c r="O171" s="61" t="s">
        <v>444</v>
      </c>
      <c r="P171" s="64">
        <v>10</v>
      </c>
      <c r="Q171" s="65">
        <v>230.48</v>
      </c>
      <c r="R171" s="65">
        <v>59.88</v>
      </c>
      <c r="S171" s="65">
        <v>0</v>
      </c>
      <c r="T171" s="65">
        <v>0</v>
      </c>
      <c r="U171" s="65">
        <v>290.36</v>
      </c>
    </row>
    <row r="172" spans="1:21" s="61" customFormat="1" hidden="1" x14ac:dyDescent="0.25">
      <c r="A172" s="62">
        <v>947371</v>
      </c>
      <c r="B172" s="61" t="s">
        <v>445</v>
      </c>
      <c r="C172" s="63">
        <v>41431</v>
      </c>
      <c r="D172" s="63">
        <v>41431</v>
      </c>
      <c r="E172" s="61" t="s">
        <v>446</v>
      </c>
      <c r="F172" s="61" t="s">
        <v>452</v>
      </c>
      <c r="G172" s="61" t="s">
        <v>475</v>
      </c>
      <c r="H172" s="61" t="s">
        <v>441</v>
      </c>
      <c r="I172" s="61" t="s">
        <v>454</v>
      </c>
      <c r="J172" s="61" t="s">
        <v>443</v>
      </c>
      <c r="K172" s="61" t="s">
        <v>443</v>
      </c>
      <c r="L172" s="64">
        <v>0</v>
      </c>
      <c r="M172" s="64">
        <v>0</v>
      </c>
      <c r="N172" s="64">
        <v>3.4409999999999998</v>
      </c>
      <c r="O172" s="61" t="s">
        <v>444</v>
      </c>
      <c r="P172" s="64">
        <v>4.5</v>
      </c>
      <c r="Q172" s="65">
        <v>28.81</v>
      </c>
      <c r="R172" s="65">
        <v>7.49</v>
      </c>
      <c r="S172" s="65">
        <v>0</v>
      </c>
      <c r="T172" s="65">
        <v>0</v>
      </c>
      <c r="U172" s="65">
        <v>36.299999999999997</v>
      </c>
    </row>
    <row r="173" spans="1:21" s="61" customFormat="1" hidden="1" x14ac:dyDescent="0.25">
      <c r="A173" s="62">
        <v>947141</v>
      </c>
      <c r="B173" s="61" t="s">
        <v>445</v>
      </c>
      <c r="C173" s="63">
        <v>41430</v>
      </c>
      <c r="D173" s="63">
        <v>41430</v>
      </c>
      <c r="E173" s="61" t="s">
        <v>446</v>
      </c>
      <c r="F173" s="61" t="s">
        <v>452</v>
      </c>
      <c r="G173" s="61" t="s">
        <v>493</v>
      </c>
      <c r="H173" s="61" t="s">
        <v>441</v>
      </c>
      <c r="I173" s="61" t="s">
        <v>442</v>
      </c>
      <c r="J173" s="61" t="s">
        <v>443</v>
      </c>
      <c r="K173" s="61" t="s">
        <v>443</v>
      </c>
      <c r="L173" s="64">
        <v>0</v>
      </c>
      <c r="M173" s="64">
        <v>0</v>
      </c>
      <c r="N173" s="64">
        <v>28.173999999999999</v>
      </c>
      <c r="O173" s="61" t="s">
        <v>444</v>
      </c>
      <c r="P173" s="64">
        <v>6.25</v>
      </c>
      <c r="Q173" s="65">
        <v>57.62</v>
      </c>
      <c r="R173" s="65">
        <v>14.97</v>
      </c>
      <c r="S173" s="65">
        <v>0</v>
      </c>
      <c r="T173" s="65">
        <v>0</v>
      </c>
      <c r="U173" s="65">
        <v>72.59</v>
      </c>
    </row>
    <row r="174" spans="1:21" s="61" customFormat="1" hidden="1" x14ac:dyDescent="0.25">
      <c r="A174" s="62">
        <v>946488</v>
      </c>
      <c r="B174" s="61" t="s">
        <v>445</v>
      </c>
      <c r="C174" s="63">
        <v>41428</v>
      </c>
      <c r="D174" s="63">
        <v>41428</v>
      </c>
      <c r="E174" s="61" t="s">
        <v>446</v>
      </c>
      <c r="F174" s="61" t="s">
        <v>452</v>
      </c>
      <c r="G174" s="61" t="s">
        <v>493</v>
      </c>
      <c r="H174" s="61" t="s">
        <v>441</v>
      </c>
      <c r="I174" s="61" t="s">
        <v>442</v>
      </c>
      <c r="J174" s="61" t="s">
        <v>443</v>
      </c>
      <c r="K174" s="61" t="s">
        <v>443</v>
      </c>
      <c r="L174" s="64">
        <v>0</v>
      </c>
      <c r="M174" s="64">
        <v>0</v>
      </c>
      <c r="N174" s="64">
        <v>28.173999999999999</v>
      </c>
      <c r="O174" s="61" t="s">
        <v>444</v>
      </c>
      <c r="P174" s="64">
        <v>9.24</v>
      </c>
      <c r="Q174" s="65">
        <v>115.24</v>
      </c>
      <c r="R174" s="65">
        <v>29.94</v>
      </c>
      <c r="S174" s="65">
        <v>0</v>
      </c>
      <c r="T174" s="65">
        <v>0</v>
      </c>
      <c r="U174" s="65">
        <v>145.18</v>
      </c>
    </row>
    <row r="175" spans="1:21" s="61" customFormat="1" hidden="1" x14ac:dyDescent="0.25">
      <c r="A175" s="62">
        <v>936080</v>
      </c>
      <c r="B175" s="61" t="s">
        <v>445</v>
      </c>
      <c r="C175" s="63">
        <v>41387</v>
      </c>
      <c r="D175" s="63">
        <v>41388</v>
      </c>
      <c r="E175" s="61" t="s">
        <v>446</v>
      </c>
      <c r="F175" s="61" t="s">
        <v>452</v>
      </c>
      <c r="G175" s="61" t="s">
        <v>493</v>
      </c>
      <c r="H175" s="61" t="s">
        <v>441</v>
      </c>
      <c r="I175" s="61" t="s">
        <v>442</v>
      </c>
      <c r="J175" s="61" t="s">
        <v>443</v>
      </c>
      <c r="K175" s="61" t="s">
        <v>443</v>
      </c>
      <c r="L175" s="64">
        <v>0</v>
      </c>
      <c r="M175" s="64">
        <v>0</v>
      </c>
      <c r="N175" s="64">
        <v>28.173999999999999</v>
      </c>
      <c r="O175" s="61" t="s">
        <v>444</v>
      </c>
      <c r="P175" s="64">
        <v>46</v>
      </c>
      <c r="Q175" s="65">
        <v>460.96</v>
      </c>
      <c r="R175" s="65">
        <v>0</v>
      </c>
      <c r="S175" s="65">
        <v>0</v>
      </c>
      <c r="T175" s="65">
        <v>0</v>
      </c>
      <c r="U175" s="65">
        <v>460.96</v>
      </c>
    </row>
    <row r="176" spans="1:21" s="61" customFormat="1" hidden="1" x14ac:dyDescent="0.25">
      <c r="A176" s="62">
        <v>932956</v>
      </c>
      <c r="B176" s="61" t="s">
        <v>445</v>
      </c>
      <c r="C176" s="63">
        <v>41374</v>
      </c>
      <c r="D176" s="63">
        <v>41375</v>
      </c>
      <c r="E176" s="61" t="s">
        <v>446</v>
      </c>
      <c r="F176" s="61" t="s">
        <v>452</v>
      </c>
      <c r="G176" s="61" t="s">
        <v>493</v>
      </c>
      <c r="H176" s="61" t="s">
        <v>441</v>
      </c>
      <c r="I176" s="61" t="s">
        <v>442</v>
      </c>
      <c r="J176" s="61" t="s">
        <v>443</v>
      </c>
      <c r="K176" s="61" t="s">
        <v>443</v>
      </c>
      <c r="L176" s="64">
        <v>0</v>
      </c>
      <c r="M176" s="64">
        <v>0</v>
      </c>
      <c r="N176" s="64">
        <v>28.173999999999999</v>
      </c>
      <c r="O176" s="61" t="s">
        <v>444</v>
      </c>
      <c r="P176" s="64">
        <v>32</v>
      </c>
      <c r="Q176" s="65">
        <v>450.56</v>
      </c>
      <c r="R176" s="65">
        <v>119.76</v>
      </c>
      <c r="S176" s="65">
        <v>0</v>
      </c>
      <c r="T176" s="65">
        <v>0</v>
      </c>
      <c r="U176" s="65">
        <v>570.32000000000005</v>
      </c>
    </row>
    <row r="177" spans="1:21" s="61" customFormat="1" hidden="1" x14ac:dyDescent="0.25">
      <c r="A177" s="62">
        <v>916294</v>
      </c>
      <c r="B177" s="61" t="s">
        <v>437</v>
      </c>
      <c r="C177" s="63">
        <v>41293</v>
      </c>
      <c r="D177" s="63">
        <v>41943</v>
      </c>
      <c r="E177" s="61" t="s">
        <v>495</v>
      </c>
      <c r="F177" s="61" t="s">
        <v>469</v>
      </c>
      <c r="G177" s="61" t="s">
        <v>496</v>
      </c>
      <c r="H177" s="61" t="s">
        <v>497</v>
      </c>
      <c r="I177" s="61" t="s">
        <v>442</v>
      </c>
      <c r="J177" s="61" t="s">
        <v>443</v>
      </c>
      <c r="K177" s="61" t="s">
        <v>443</v>
      </c>
      <c r="L177" s="64">
        <v>0</v>
      </c>
      <c r="M177" s="64">
        <v>29.643999999999998</v>
      </c>
      <c r="N177" s="64">
        <v>38.479999999999997</v>
      </c>
      <c r="O177" s="61" t="s">
        <v>444</v>
      </c>
      <c r="P177" s="64">
        <v>1</v>
      </c>
      <c r="Q177" s="65">
        <v>21294.16</v>
      </c>
      <c r="R177" s="65">
        <v>7628.15</v>
      </c>
      <c r="S177" s="65">
        <v>11029.45</v>
      </c>
      <c r="T177" s="65">
        <v>76901.42</v>
      </c>
      <c r="U177" s="65">
        <v>116853.18</v>
      </c>
    </row>
    <row r="178" spans="1:21" s="61" customFormat="1" hidden="1" x14ac:dyDescent="0.25">
      <c r="A178" s="62">
        <v>915525</v>
      </c>
      <c r="B178" s="61" t="s">
        <v>437</v>
      </c>
      <c r="C178" s="63">
        <v>41291</v>
      </c>
      <c r="D178" s="63">
        <v>41304</v>
      </c>
      <c r="E178" s="61" t="s">
        <v>450</v>
      </c>
      <c r="F178" s="61" t="s">
        <v>469</v>
      </c>
      <c r="G178" s="61" t="s">
        <v>496</v>
      </c>
      <c r="H178" s="61" t="s">
        <v>441</v>
      </c>
      <c r="I178" s="61" t="s">
        <v>442</v>
      </c>
      <c r="J178" s="61" t="s">
        <v>443</v>
      </c>
      <c r="K178" s="61" t="s">
        <v>443</v>
      </c>
      <c r="L178" s="64">
        <v>0</v>
      </c>
      <c r="M178" s="64">
        <v>29.643999999999998</v>
      </c>
      <c r="N178" s="64">
        <v>38.479999999999997</v>
      </c>
      <c r="O178" s="61" t="s">
        <v>444</v>
      </c>
      <c r="P178" s="64">
        <v>0</v>
      </c>
      <c r="Q178" s="65">
        <v>3313.46</v>
      </c>
      <c r="R178" s="65">
        <v>1503.33</v>
      </c>
      <c r="S178" s="65">
        <v>0</v>
      </c>
      <c r="T178" s="65">
        <v>10</v>
      </c>
      <c r="U178" s="65">
        <v>4826.79</v>
      </c>
    </row>
    <row r="179" spans="1:21" s="61" customFormat="1" hidden="1" x14ac:dyDescent="0.25">
      <c r="A179" s="62">
        <v>911403</v>
      </c>
      <c r="B179" s="61" t="s">
        <v>445</v>
      </c>
      <c r="C179" s="63">
        <v>41276</v>
      </c>
      <c r="D179" s="63">
        <v>41277</v>
      </c>
      <c r="E179" s="61" t="s">
        <v>446</v>
      </c>
      <c r="F179" s="61" t="s">
        <v>452</v>
      </c>
      <c r="G179" s="61" t="s">
        <v>493</v>
      </c>
      <c r="H179" s="61" t="s">
        <v>441</v>
      </c>
      <c r="I179" s="61" t="s">
        <v>442</v>
      </c>
      <c r="J179" s="61" t="s">
        <v>443</v>
      </c>
      <c r="K179" s="61" t="s">
        <v>443</v>
      </c>
      <c r="L179" s="64">
        <v>0</v>
      </c>
      <c r="M179" s="64">
        <v>0</v>
      </c>
      <c r="N179" s="64">
        <v>28.173999999999999</v>
      </c>
      <c r="O179" s="61" t="s">
        <v>444</v>
      </c>
      <c r="P179" s="64">
        <v>12</v>
      </c>
      <c r="Q179" s="65">
        <v>56.32</v>
      </c>
      <c r="R179" s="65">
        <v>12.22</v>
      </c>
      <c r="S179" s="65">
        <v>0</v>
      </c>
      <c r="T179" s="65">
        <v>0</v>
      </c>
      <c r="U179" s="65">
        <v>68.540000000000006</v>
      </c>
    </row>
    <row r="180" spans="1:21" s="61" customFormat="1" hidden="1" x14ac:dyDescent="0.25">
      <c r="A180" s="62">
        <v>893737</v>
      </c>
      <c r="B180" s="61" t="s">
        <v>445</v>
      </c>
      <c r="C180" s="63">
        <v>41176</v>
      </c>
      <c r="D180" s="63">
        <v>41179</v>
      </c>
      <c r="E180" s="61" t="s">
        <v>446</v>
      </c>
      <c r="F180" s="61" t="s">
        <v>452</v>
      </c>
      <c r="G180" s="61" t="s">
        <v>493</v>
      </c>
      <c r="H180" s="61" t="s">
        <v>441</v>
      </c>
      <c r="I180" s="61" t="s">
        <v>442</v>
      </c>
      <c r="J180" s="61" t="s">
        <v>443</v>
      </c>
      <c r="K180" s="61" t="s">
        <v>443</v>
      </c>
      <c r="L180" s="64">
        <v>0</v>
      </c>
      <c r="M180" s="64">
        <v>0</v>
      </c>
      <c r="N180" s="64">
        <v>28.173999999999999</v>
      </c>
      <c r="O180" s="61" t="s">
        <v>444</v>
      </c>
      <c r="P180" s="64">
        <v>6.25</v>
      </c>
      <c r="Q180" s="65">
        <v>51.74</v>
      </c>
      <c r="R180" s="65">
        <v>12.22</v>
      </c>
      <c r="S180" s="65">
        <v>0</v>
      </c>
      <c r="T180" s="65">
        <v>0</v>
      </c>
      <c r="U180" s="65">
        <v>63.96</v>
      </c>
    </row>
    <row r="181" spans="1:21" s="61" customFormat="1" hidden="1" x14ac:dyDescent="0.25">
      <c r="A181" s="62">
        <v>881543</v>
      </c>
      <c r="B181" s="61" t="s">
        <v>445</v>
      </c>
      <c r="C181" s="63">
        <v>41127</v>
      </c>
      <c r="D181" s="63">
        <v>41129</v>
      </c>
      <c r="E181" s="61" t="s">
        <v>446</v>
      </c>
      <c r="F181" s="61" t="s">
        <v>452</v>
      </c>
      <c r="G181" s="61" t="s">
        <v>475</v>
      </c>
      <c r="H181" s="61" t="s">
        <v>441</v>
      </c>
      <c r="I181" s="61" t="s">
        <v>454</v>
      </c>
      <c r="J181" s="61" t="s">
        <v>443</v>
      </c>
      <c r="K181" s="61" t="s">
        <v>443</v>
      </c>
      <c r="L181" s="64">
        <v>0</v>
      </c>
      <c r="M181" s="64">
        <v>0</v>
      </c>
      <c r="N181" s="64">
        <v>3.4409999999999998</v>
      </c>
      <c r="O181" s="61" t="s">
        <v>444</v>
      </c>
      <c r="P181" s="64">
        <v>29</v>
      </c>
      <c r="Q181" s="65">
        <v>258.7</v>
      </c>
      <c r="R181" s="65">
        <v>61.1</v>
      </c>
      <c r="S181" s="65">
        <v>0</v>
      </c>
      <c r="T181" s="65">
        <v>0</v>
      </c>
      <c r="U181" s="65">
        <v>319.8</v>
      </c>
    </row>
    <row r="182" spans="1:21" s="61" customFormat="1" hidden="1" x14ac:dyDescent="0.25">
      <c r="A182" s="62">
        <v>880256</v>
      </c>
      <c r="B182" s="61" t="s">
        <v>445</v>
      </c>
      <c r="C182" s="63">
        <v>41122</v>
      </c>
      <c r="D182" s="63">
        <v>41123</v>
      </c>
      <c r="E182" s="61" t="s">
        <v>446</v>
      </c>
      <c r="F182" s="61" t="s">
        <v>452</v>
      </c>
      <c r="G182" s="61" t="s">
        <v>493</v>
      </c>
      <c r="H182" s="61" t="s">
        <v>441</v>
      </c>
      <c r="I182" s="61" t="s">
        <v>442</v>
      </c>
      <c r="J182" s="61" t="s">
        <v>443</v>
      </c>
      <c r="K182" s="61" t="s">
        <v>443</v>
      </c>
      <c r="L182" s="64">
        <v>0</v>
      </c>
      <c r="M182" s="64">
        <v>0</v>
      </c>
      <c r="N182" s="64">
        <v>28.173999999999999</v>
      </c>
      <c r="O182" s="61" t="s">
        <v>444</v>
      </c>
      <c r="P182" s="64">
        <v>13.25</v>
      </c>
      <c r="Q182" s="65">
        <v>51.74</v>
      </c>
      <c r="R182" s="65">
        <v>36.69</v>
      </c>
      <c r="S182" s="65">
        <v>0</v>
      </c>
      <c r="T182" s="65">
        <v>0</v>
      </c>
      <c r="U182" s="65">
        <v>88.43</v>
      </c>
    </row>
    <row r="183" spans="1:21" s="61" customFormat="1" hidden="1" x14ac:dyDescent="0.25">
      <c r="A183" s="62">
        <v>877302</v>
      </c>
      <c r="B183" s="61" t="s">
        <v>445</v>
      </c>
      <c r="C183" s="63">
        <v>41109</v>
      </c>
      <c r="D183" s="63">
        <v>41110</v>
      </c>
      <c r="E183" s="61" t="s">
        <v>498</v>
      </c>
      <c r="F183" s="61" t="s">
        <v>494</v>
      </c>
      <c r="G183" s="61" t="s">
        <v>493</v>
      </c>
      <c r="H183" s="61" t="s">
        <v>441</v>
      </c>
      <c r="I183" s="61" t="s">
        <v>442</v>
      </c>
      <c r="J183" s="61" t="s">
        <v>443</v>
      </c>
      <c r="K183" s="61" t="s">
        <v>443</v>
      </c>
      <c r="L183" s="64">
        <v>0</v>
      </c>
      <c r="M183" s="64">
        <v>0</v>
      </c>
      <c r="N183" s="64">
        <v>28.173999999999999</v>
      </c>
      <c r="O183" s="61" t="s">
        <v>444</v>
      </c>
      <c r="P183" s="64">
        <v>200</v>
      </c>
      <c r="Q183" s="65">
        <v>1293.5</v>
      </c>
      <c r="R183" s="65">
        <v>205</v>
      </c>
      <c r="S183" s="65">
        <v>0</v>
      </c>
      <c r="T183" s="65">
        <v>0</v>
      </c>
      <c r="U183" s="65">
        <v>1498.5</v>
      </c>
    </row>
    <row r="184" spans="1:21" s="61" customFormat="1" hidden="1" x14ac:dyDescent="0.25">
      <c r="A184" s="62">
        <v>876945</v>
      </c>
      <c r="B184" s="61" t="s">
        <v>445</v>
      </c>
      <c r="C184" s="63">
        <v>41108</v>
      </c>
      <c r="D184" s="63">
        <v>41109</v>
      </c>
      <c r="E184" s="61" t="s">
        <v>498</v>
      </c>
      <c r="F184" s="61" t="s">
        <v>494</v>
      </c>
      <c r="G184" s="61" t="s">
        <v>493</v>
      </c>
      <c r="H184" s="61" t="s">
        <v>441</v>
      </c>
      <c r="I184" s="61" t="s">
        <v>442</v>
      </c>
      <c r="J184" s="61" t="s">
        <v>443</v>
      </c>
      <c r="K184" s="61" t="s">
        <v>443</v>
      </c>
      <c r="L184" s="64">
        <v>0</v>
      </c>
      <c r="M184" s="64">
        <v>0</v>
      </c>
      <c r="N184" s="64">
        <v>28.173999999999999</v>
      </c>
      <c r="O184" s="61" t="s">
        <v>444</v>
      </c>
      <c r="P184" s="64">
        <v>300</v>
      </c>
      <c r="Q184" s="65">
        <v>1293.5</v>
      </c>
      <c r="R184" s="65">
        <v>205</v>
      </c>
      <c r="S184" s="65">
        <v>0</v>
      </c>
      <c r="T184" s="65">
        <v>0</v>
      </c>
      <c r="U184" s="65">
        <v>1498.5</v>
      </c>
    </row>
    <row r="185" spans="1:21" s="61" customFormat="1" hidden="1" x14ac:dyDescent="0.25">
      <c r="A185" s="62">
        <v>876712</v>
      </c>
      <c r="B185" s="61" t="s">
        <v>445</v>
      </c>
      <c r="C185" s="63">
        <v>41107</v>
      </c>
      <c r="D185" s="63">
        <v>41108</v>
      </c>
      <c r="E185" s="61" t="s">
        <v>498</v>
      </c>
      <c r="F185" s="61" t="s">
        <v>494</v>
      </c>
      <c r="G185" s="61" t="s">
        <v>493</v>
      </c>
      <c r="H185" s="61" t="s">
        <v>441</v>
      </c>
      <c r="I185" s="61" t="s">
        <v>442</v>
      </c>
      <c r="J185" s="61" t="s">
        <v>443</v>
      </c>
      <c r="K185" s="61" t="s">
        <v>443</v>
      </c>
      <c r="L185" s="64">
        <v>0</v>
      </c>
      <c r="M185" s="64">
        <v>0</v>
      </c>
      <c r="N185" s="64">
        <v>28.173999999999999</v>
      </c>
      <c r="O185" s="61" t="s">
        <v>444</v>
      </c>
      <c r="P185" s="64">
        <v>137.5</v>
      </c>
      <c r="Q185" s="65">
        <v>711.43</v>
      </c>
      <c r="R185" s="65">
        <v>112.75</v>
      </c>
      <c r="S185" s="65">
        <v>0</v>
      </c>
      <c r="T185" s="65">
        <v>0</v>
      </c>
      <c r="U185" s="65">
        <v>824.18</v>
      </c>
    </row>
    <row r="186" spans="1:21" s="61" customFormat="1" hidden="1" x14ac:dyDescent="0.25">
      <c r="A186" s="62">
        <v>876712</v>
      </c>
      <c r="B186" s="61" t="s">
        <v>445</v>
      </c>
      <c r="C186" s="63">
        <v>41107</v>
      </c>
      <c r="D186" s="63">
        <v>41108</v>
      </c>
      <c r="E186" s="61" t="s">
        <v>498</v>
      </c>
      <c r="F186" s="61" t="s">
        <v>494</v>
      </c>
      <c r="G186" s="61" t="s">
        <v>493</v>
      </c>
      <c r="H186" s="61" t="s">
        <v>441</v>
      </c>
      <c r="I186" s="61" t="s">
        <v>442</v>
      </c>
      <c r="J186" s="61" t="s">
        <v>443</v>
      </c>
      <c r="K186" s="61" t="s">
        <v>443</v>
      </c>
      <c r="L186" s="64">
        <v>0</v>
      </c>
      <c r="M186" s="64">
        <v>0</v>
      </c>
      <c r="N186" s="64">
        <v>28.173999999999999</v>
      </c>
      <c r="O186" s="61" t="s">
        <v>444</v>
      </c>
      <c r="P186" s="64">
        <v>137.5</v>
      </c>
      <c r="Q186" s="65">
        <v>711.43</v>
      </c>
      <c r="R186" s="65">
        <v>112.75</v>
      </c>
      <c r="S186" s="65">
        <v>0</v>
      </c>
      <c r="T186" s="65">
        <v>0</v>
      </c>
      <c r="U186" s="65">
        <v>824.18</v>
      </c>
    </row>
    <row r="187" spans="1:21" s="61" customFormat="1" hidden="1" x14ac:dyDescent="0.25">
      <c r="A187" s="62">
        <v>874794</v>
      </c>
      <c r="B187" s="61" t="s">
        <v>445</v>
      </c>
      <c r="C187" s="63">
        <v>41100</v>
      </c>
      <c r="D187" s="63">
        <v>41101</v>
      </c>
      <c r="E187" s="61" t="s">
        <v>498</v>
      </c>
      <c r="F187" s="61" t="s">
        <v>494</v>
      </c>
      <c r="G187" s="61" t="s">
        <v>493</v>
      </c>
      <c r="H187" s="61" t="s">
        <v>441</v>
      </c>
      <c r="I187" s="61" t="s">
        <v>442</v>
      </c>
      <c r="J187" s="61" t="s">
        <v>443</v>
      </c>
      <c r="K187" s="61" t="s">
        <v>443</v>
      </c>
      <c r="L187" s="64">
        <v>0</v>
      </c>
      <c r="M187" s="64">
        <v>0</v>
      </c>
      <c r="N187" s="64">
        <v>28.173999999999999</v>
      </c>
      <c r="O187" s="61" t="s">
        <v>444</v>
      </c>
      <c r="P187" s="64">
        <v>300</v>
      </c>
      <c r="Q187" s="65">
        <v>1293.5</v>
      </c>
      <c r="R187" s="65">
        <v>830</v>
      </c>
      <c r="S187" s="65">
        <v>0</v>
      </c>
      <c r="T187" s="65">
        <v>0</v>
      </c>
      <c r="U187" s="65">
        <v>2123.5</v>
      </c>
    </row>
    <row r="188" spans="1:21" s="61" customFormat="1" hidden="1" x14ac:dyDescent="0.25">
      <c r="A188" s="62">
        <v>870241</v>
      </c>
      <c r="B188" s="61" t="s">
        <v>445</v>
      </c>
      <c r="C188" s="63">
        <v>41079</v>
      </c>
      <c r="D188" s="63">
        <v>41080</v>
      </c>
      <c r="E188" s="61" t="s">
        <v>498</v>
      </c>
      <c r="F188" s="61" t="s">
        <v>452</v>
      </c>
      <c r="G188" s="61" t="s">
        <v>493</v>
      </c>
      <c r="H188" s="61" t="s">
        <v>441</v>
      </c>
      <c r="I188" s="61" t="s">
        <v>442</v>
      </c>
      <c r="J188" s="61" t="s">
        <v>443</v>
      </c>
      <c r="K188" s="61" t="s">
        <v>443</v>
      </c>
      <c r="L188" s="64">
        <v>0</v>
      </c>
      <c r="M188" s="64">
        <v>0</v>
      </c>
      <c r="N188" s="64">
        <v>28.173999999999999</v>
      </c>
      <c r="O188" s="61" t="s">
        <v>444</v>
      </c>
      <c r="P188" s="64">
        <v>29</v>
      </c>
      <c r="Q188" s="65">
        <v>413.92</v>
      </c>
      <c r="R188" s="65">
        <v>97.76</v>
      </c>
      <c r="S188" s="65">
        <v>0</v>
      </c>
      <c r="T188" s="65">
        <v>0</v>
      </c>
      <c r="U188" s="65">
        <v>511.68</v>
      </c>
    </row>
    <row r="189" spans="1:21" s="61" customFormat="1" hidden="1" x14ac:dyDescent="0.25">
      <c r="A189" s="62">
        <v>869916</v>
      </c>
      <c r="B189" s="61" t="s">
        <v>445</v>
      </c>
      <c r="C189" s="63">
        <v>41078</v>
      </c>
      <c r="D189" s="63">
        <v>41079</v>
      </c>
      <c r="E189" s="61" t="s">
        <v>498</v>
      </c>
      <c r="F189" s="61" t="s">
        <v>452</v>
      </c>
      <c r="G189" s="61" t="s">
        <v>493</v>
      </c>
      <c r="H189" s="61" t="s">
        <v>441</v>
      </c>
      <c r="I189" s="61" t="s">
        <v>442</v>
      </c>
      <c r="J189" s="61" t="s">
        <v>443</v>
      </c>
      <c r="K189" s="61" t="s">
        <v>443</v>
      </c>
      <c r="L189" s="64">
        <v>0</v>
      </c>
      <c r="M189" s="64">
        <v>0</v>
      </c>
      <c r="N189" s="64">
        <v>28.173999999999999</v>
      </c>
      <c r="O189" s="61" t="s">
        <v>444</v>
      </c>
      <c r="P189" s="64">
        <v>43.5</v>
      </c>
      <c r="Q189" s="65">
        <v>206.96</v>
      </c>
      <c r="R189" s="65">
        <v>48.88</v>
      </c>
      <c r="S189" s="65">
        <v>0</v>
      </c>
      <c r="T189" s="65">
        <v>0</v>
      </c>
      <c r="U189" s="65">
        <v>255.84</v>
      </c>
    </row>
    <row r="190" spans="1:21" s="61" customFormat="1" hidden="1" x14ac:dyDescent="0.25">
      <c r="A190" s="62">
        <v>869916</v>
      </c>
      <c r="B190" s="61" t="s">
        <v>445</v>
      </c>
      <c r="C190" s="63">
        <v>41078</v>
      </c>
      <c r="D190" s="63">
        <v>41079</v>
      </c>
      <c r="E190" s="61" t="s">
        <v>498</v>
      </c>
      <c r="F190" s="61" t="s">
        <v>452</v>
      </c>
      <c r="G190" s="61" t="s">
        <v>499</v>
      </c>
      <c r="H190" s="61" t="s">
        <v>441</v>
      </c>
      <c r="I190" s="61" t="s">
        <v>442</v>
      </c>
      <c r="J190" s="61" t="s">
        <v>443</v>
      </c>
      <c r="K190" s="61" t="s">
        <v>443</v>
      </c>
      <c r="L190" s="64">
        <v>0</v>
      </c>
      <c r="M190" s="64">
        <v>29.643999999999998</v>
      </c>
      <c r="N190" s="64">
        <v>38.479999999999997</v>
      </c>
      <c r="O190" s="61" t="s">
        <v>444</v>
      </c>
      <c r="P190" s="64">
        <v>43.5</v>
      </c>
      <c r="Q190" s="65">
        <v>206.96</v>
      </c>
      <c r="R190" s="65">
        <v>48.88</v>
      </c>
      <c r="S190" s="65">
        <v>0</v>
      </c>
      <c r="T190" s="65">
        <v>0</v>
      </c>
      <c r="U190" s="65">
        <v>255.84</v>
      </c>
    </row>
    <row r="191" spans="1:21" s="61" customFormat="1" hidden="1" x14ac:dyDescent="0.25">
      <c r="A191" s="62">
        <v>869915</v>
      </c>
      <c r="B191" s="61" t="s">
        <v>445</v>
      </c>
      <c r="C191" s="63">
        <v>41078</v>
      </c>
      <c r="D191" s="63">
        <v>41079</v>
      </c>
      <c r="E191" s="61" t="s">
        <v>498</v>
      </c>
      <c r="F191" s="61" t="s">
        <v>452</v>
      </c>
      <c r="G191" s="61" t="s">
        <v>493</v>
      </c>
      <c r="H191" s="61" t="s">
        <v>441</v>
      </c>
      <c r="I191" s="61" t="s">
        <v>442</v>
      </c>
      <c r="J191" s="61" t="s">
        <v>443</v>
      </c>
      <c r="K191" s="61" t="s">
        <v>443</v>
      </c>
      <c r="L191" s="64">
        <v>0</v>
      </c>
      <c r="M191" s="64">
        <v>0</v>
      </c>
      <c r="N191" s="64">
        <v>28.173999999999999</v>
      </c>
      <c r="O191" s="61" t="s">
        <v>444</v>
      </c>
      <c r="P191" s="64">
        <v>17.25</v>
      </c>
      <c r="Q191" s="65">
        <v>206.96</v>
      </c>
      <c r="R191" s="65">
        <v>50.6</v>
      </c>
      <c r="S191" s="65">
        <v>0</v>
      </c>
      <c r="T191" s="65">
        <v>0</v>
      </c>
      <c r="U191" s="65">
        <v>257.56</v>
      </c>
    </row>
    <row r="192" spans="1:21" s="61" customFormat="1" hidden="1" x14ac:dyDescent="0.25">
      <c r="A192" s="62">
        <v>869915</v>
      </c>
      <c r="B192" s="61" t="s">
        <v>445</v>
      </c>
      <c r="C192" s="63">
        <v>41078</v>
      </c>
      <c r="D192" s="63">
        <v>41079</v>
      </c>
      <c r="E192" s="61" t="s">
        <v>498</v>
      </c>
      <c r="F192" s="61" t="s">
        <v>452</v>
      </c>
      <c r="G192" s="61" t="s">
        <v>499</v>
      </c>
      <c r="H192" s="61" t="s">
        <v>441</v>
      </c>
      <c r="I192" s="61" t="s">
        <v>442</v>
      </c>
      <c r="J192" s="61" t="s">
        <v>443</v>
      </c>
      <c r="K192" s="61" t="s">
        <v>443</v>
      </c>
      <c r="L192" s="64">
        <v>0</v>
      </c>
      <c r="M192" s="64">
        <v>29.643999999999998</v>
      </c>
      <c r="N192" s="64">
        <v>38.479999999999997</v>
      </c>
      <c r="O192" s="61" t="s">
        <v>444</v>
      </c>
      <c r="P192" s="64">
        <v>17.25</v>
      </c>
      <c r="Q192" s="65">
        <v>206.96</v>
      </c>
      <c r="R192" s="65">
        <v>50.6</v>
      </c>
      <c r="S192" s="65">
        <v>0</v>
      </c>
      <c r="T192" s="65">
        <v>0</v>
      </c>
      <c r="U192" s="65">
        <v>257.56</v>
      </c>
    </row>
    <row r="193" spans="1:21" s="61" customFormat="1" hidden="1" x14ac:dyDescent="0.25">
      <c r="A193" s="62">
        <v>869914</v>
      </c>
      <c r="B193" s="61" t="s">
        <v>445</v>
      </c>
      <c r="C193" s="63">
        <v>41078</v>
      </c>
      <c r="D193" s="63">
        <v>41079</v>
      </c>
      <c r="E193" s="61" t="s">
        <v>498</v>
      </c>
      <c r="F193" s="61" t="s">
        <v>452</v>
      </c>
      <c r="G193" s="61" t="s">
        <v>493</v>
      </c>
      <c r="H193" s="61" t="s">
        <v>441</v>
      </c>
      <c r="I193" s="61" t="s">
        <v>442</v>
      </c>
      <c r="J193" s="61" t="s">
        <v>443</v>
      </c>
      <c r="K193" s="61" t="s">
        <v>443</v>
      </c>
      <c r="L193" s="64">
        <v>0</v>
      </c>
      <c r="M193" s="64">
        <v>0</v>
      </c>
      <c r="N193" s="64">
        <v>28.173999999999999</v>
      </c>
      <c r="O193" s="61" t="s">
        <v>444</v>
      </c>
      <c r="P193" s="64">
        <v>39</v>
      </c>
      <c r="Q193" s="65">
        <v>206.96</v>
      </c>
      <c r="R193" s="65">
        <v>50.6</v>
      </c>
      <c r="S193" s="65">
        <v>0</v>
      </c>
      <c r="T193" s="65">
        <v>0</v>
      </c>
      <c r="U193" s="65">
        <v>257.56</v>
      </c>
    </row>
    <row r="194" spans="1:21" s="61" customFormat="1" hidden="1" x14ac:dyDescent="0.25">
      <c r="A194" s="62">
        <v>869914</v>
      </c>
      <c r="B194" s="61" t="s">
        <v>445</v>
      </c>
      <c r="C194" s="63">
        <v>41078</v>
      </c>
      <c r="D194" s="63">
        <v>41079</v>
      </c>
      <c r="E194" s="61" t="s">
        <v>498</v>
      </c>
      <c r="F194" s="61" t="s">
        <v>452</v>
      </c>
      <c r="G194" s="61" t="s">
        <v>499</v>
      </c>
      <c r="H194" s="61" t="s">
        <v>441</v>
      </c>
      <c r="I194" s="61" t="s">
        <v>442</v>
      </c>
      <c r="J194" s="61" t="s">
        <v>443</v>
      </c>
      <c r="K194" s="61" t="s">
        <v>443</v>
      </c>
      <c r="L194" s="64">
        <v>0</v>
      </c>
      <c r="M194" s="64">
        <v>29.643999999999998</v>
      </c>
      <c r="N194" s="64">
        <v>38.479999999999997</v>
      </c>
      <c r="O194" s="61" t="s">
        <v>444</v>
      </c>
      <c r="P194" s="64">
        <v>39</v>
      </c>
      <c r="Q194" s="65">
        <v>206.96</v>
      </c>
      <c r="R194" s="65">
        <v>50.6</v>
      </c>
      <c r="S194" s="65">
        <v>0</v>
      </c>
      <c r="T194" s="65">
        <v>0</v>
      </c>
      <c r="U194" s="65">
        <v>257.56</v>
      </c>
    </row>
    <row r="195" spans="1:21" s="61" customFormat="1" hidden="1" x14ac:dyDescent="0.25">
      <c r="A195" s="62">
        <v>868106</v>
      </c>
      <c r="B195" s="61" t="s">
        <v>445</v>
      </c>
      <c r="C195" s="63">
        <v>41071</v>
      </c>
      <c r="D195" s="63">
        <v>41072</v>
      </c>
      <c r="E195" s="61" t="s">
        <v>446</v>
      </c>
      <c r="F195" s="61" t="s">
        <v>452</v>
      </c>
      <c r="G195" s="61" t="s">
        <v>493</v>
      </c>
      <c r="H195" s="61" t="s">
        <v>441</v>
      </c>
      <c r="I195" s="61" t="s">
        <v>442</v>
      </c>
      <c r="J195" s="61" t="s">
        <v>443</v>
      </c>
      <c r="K195" s="61" t="s">
        <v>443</v>
      </c>
      <c r="L195" s="64">
        <v>0</v>
      </c>
      <c r="M195" s="64">
        <v>0</v>
      </c>
      <c r="N195" s="64">
        <v>28.173999999999999</v>
      </c>
      <c r="O195" s="61" t="s">
        <v>444</v>
      </c>
      <c r="P195" s="64">
        <v>0</v>
      </c>
      <c r="Q195" s="65">
        <v>155.22</v>
      </c>
      <c r="R195" s="65">
        <v>36.659999999999997</v>
      </c>
      <c r="S195" s="65">
        <v>0</v>
      </c>
      <c r="T195" s="65">
        <v>0</v>
      </c>
      <c r="U195" s="65">
        <v>191.88</v>
      </c>
    </row>
    <row r="196" spans="1:21" s="61" customFormat="1" hidden="1" x14ac:dyDescent="0.25">
      <c r="A196" s="62">
        <v>867525</v>
      </c>
      <c r="B196" s="61" t="s">
        <v>445</v>
      </c>
      <c r="C196" s="63">
        <v>41067</v>
      </c>
      <c r="D196" s="63">
        <v>41068</v>
      </c>
      <c r="E196" s="61" t="s">
        <v>446</v>
      </c>
      <c r="F196" s="61" t="s">
        <v>452</v>
      </c>
      <c r="G196" s="61" t="s">
        <v>493</v>
      </c>
      <c r="H196" s="61" t="s">
        <v>441</v>
      </c>
      <c r="I196" s="61" t="s">
        <v>442</v>
      </c>
      <c r="J196" s="61" t="s">
        <v>443</v>
      </c>
      <c r="K196" s="61" t="s">
        <v>443</v>
      </c>
      <c r="L196" s="64">
        <v>0</v>
      </c>
      <c r="M196" s="64">
        <v>0</v>
      </c>
      <c r="N196" s="64">
        <v>28.173999999999999</v>
      </c>
      <c r="O196" s="61" t="s">
        <v>444</v>
      </c>
      <c r="P196" s="64">
        <v>15.5</v>
      </c>
      <c r="Q196" s="65">
        <v>155.22</v>
      </c>
      <c r="R196" s="65">
        <v>36.659999999999997</v>
      </c>
      <c r="S196" s="65">
        <v>0</v>
      </c>
      <c r="T196" s="65">
        <v>0</v>
      </c>
      <c r="U196" s="65">
        <v>191.88</v>
      </c>
    </row>
    <row r="197" spans="1:21" s="61" customFormat="1" hidden="1" x14ac:dyDescent="0.25">
      <c r="A197" s="62">
        <v>863320</v>
      </c>
      <c r="B197" s="61" t="s">
        <v>445</v>
      </c>
      <c r="C197" s="63">
        <v>41050</v>
      </c>
      <c r="D197" s="63">
        <v>41051</v>
      </c>
      <c r="E197" s="61" t="s">
        <v>446</v>
      </c>
      <c r="F197" s="61" t="s">
        <v>452</v>
      </c>
      <c r="G197" s="61" t="s">
        <v>493</v>
      </c>
      <c r="H197" s="61" t="s">
        <v>441</v>
      </c>
      <c r="I197" s="61" t="s">
        <v>442</v>
      </c>
      <c r="J197" s="61" t="s">
        <v>443</v>
      </c>
      <c r="K197" s="61" t="s">
        <v>443</v>
      </c>
      <c r="L197" s="64">
        <v>0</v>
      </c>
      <c r="M197" s="64">
        <v>0</v>
      </c>
      <c r="N197" s="64">
        <v>28.173999999999999</v>
      </c>
      <c r="O197" s="61" t="s">
        <v>444</v>
      </c>
      <c r="P197" s="64">
        <v>6</v>
      </c>
      <c r="Q197" s="65">
        <v>51.74</v>
      </c>
      <c r="R197" s="65">
        <v>12.22</v>
      </c>
      <c r="S197" s="65">
        <v>0</v>
      </c>
      <c r="T197" s="65">
        <v>0</v>
      </c>
      <c r="U197" s="65">
        <v>63.96</v>
      </c>
    </row>
    <row r="198" spans="1:21" s="61" customFormat="1" hidden="1" x14ac:dyDescent="0.25">
      <c r="A198" s="62">
        <v>851630</v>
      </c>
      <c r="B198" s="61" t="s">
        <v>445</v>
      </c>
      <c r="C198" s="63">
        <v>40997</v>
      </c>
      <c r="D198" s="63">
        <v>41001</v>
      </c>
      <c r="E198" s="61" t="s">
        <v>446</v>
      </c>
      <c r="F198" s="61" t="s">
        <v>452</v>
      </c>
      <c r="G198" s="61" t="s">
        <v>493</v>
      </c>
      <c r="H198" s="61" t="s">
        <v>441</v>
      </c>
      <c r="I198" s="61" t="s">
        <v>442</v>
      </c>
      <c r="J198" s="61" t="s">
        <v>443</v>
      </c>
      <c r="K198" s="61" t="s">
        <v>443</v>
      </c>
      <c r="L198" s="64">
        <v>0</v>
      </c>
      <c r="M198" s="64">
        <v>0</v>
      </c>
      <c r="N198" s="64">
        <v>28.173999999999999</v>
      </c>
      <c r="O198" s="61" t="s">
        <v>444</v>
      </c>
      <c r="P198" s="64">
        <v>9</v>
      </c>
      <c r="Q198" s="65">
        <v>103.48</v>
      </c>
      <c r="R198" s="65">
        <v>24.44</v>
      </c>
      <c r="S198" s="65">
        <v>0</v>
      </c>
      <c r="T198" s="65">
        <v>0</v>
      </c>
      <c r="U198" s="65">
        <v>127.92</v>
      </c>
    </row>
    <row r="199" spans="1:21" s="61" customFormat="1" hidden="1" x14ac:dyDescent="0.25">
      <c r="A199" s="62">
        <v>848551</v>
      </c>
      <c r="B199" s="61" t="s">
        <v>472</v>
      </c>
      <c r="C199" s="63">
        <v>40988</v>
      </c>
      <c r="D199" s="63">
        <v>40990</v>
      </c>
      <c r="E199" s="61" t="s">
        <v>500</v>
      </c>
      <c r="F199" s="61" t="s">
        <v>490</v>
      </c>
      <c r="G199" s="61" t="s">
        <v>493</v>
      </c>
      <c r="H199" s="61" t="s">
        <v>441</v>
      </c>
      <c r="I199" s="61" t="s">
        <v>442</v>
      </c>
      <c r="J199" s="61" t="s">
        <v>443</v>
      </c>
      <c r="K199" s="61" t="s">
        <v>443</v>
      </c>
      <c r="L199" s="64">
        <v>0</v>
      </c>
      <c r="M199" s="64">
        <v>0</v>
      </c>
      <c r="N199" s="64">
        <v>28.173999999999999</v>
      </c>
      <c r="O199" s="61" t="s">
        <v>444</v>
      </c>
      <c r="P199" s="64">
        <v>6768.54</v>
      </c>
      <c r="Q199" s="65">
        <v>89.53</v>
      </c>
      <c r="R199" s="65">
        <v>29.08</v>
      </c>
      <c r="S199" s="65">
        <v>33.979999999999997</v>
      </c>
      <c r="T199" s="65">
        <v>0</v>
      </c>
      <c r="U199" s="65">
        <v>152.58000000000001</v>
      </c>
    </row>
    <row r="200" spans="1:21" s="61" customFormat="1" hidden="1" x14ac:dyDescent="0.25">
      <c r="A200" s="62">
        <v>848551</v>
      </c>
      <c r="B200" s="61" t="s">
        <v>472</v>
      </c>
      <c r="C200" s="63">
        <v>40988</v>
      </c>
      <c r="D200" s="63">
        <v>40990</v>
      </c>
      <c r="E200" s="61" t="s">
        <v>500</v>
      </c>
      <c r="F200" s="61" t="s">
        <v>490</v>
      </c>
      <c r="G200" s="61" t="s">
        <v>499</v>
      </c>
      <c r="H200" s="61" t="s">
        <v>441</v>
      </c>
      <c r="I200" s="61" t="s">
        <v>442</v>
      </c>
      <c r="J200" s="61" t="s">
        <v>443</v>
      </c>
      <c r="K200" s="61" t="s">
        <v>443</v>
      </c>
      <c r="L200" s="64">
        <v>0</v>
      </c>
      <c r="M200" s="64">
        <v>29.643999999999998</v>
      </c>
      <c r="N200" s="64">
        <v>38.479999999999997</v>
      </c>
      <c r="O200" s="61" t="s">
        <v>444</v>
      </c>
      <c r="P200" s="64">
        <v>6768.54</v>
      </c>
      <c r="Q200" s="65">
        <v>89.53</v>
      </c>
      <c r="R200" s="65">
        <v>29.08</v>
      </c>
      <c r="S200" s="65">
        <v>33.979999999999997</v>
      </c>
      <c r="T200" s="65">
        <v>0</v>
      </c>
      <c r="U200" s="65">
        <v>152.58000000000001</v>
      </c>
    </row>
    <row r="201" spans="1:21" s="61" customFormat="1" hidden="1" x14ac:dyDescent="0.25">
      <c r="A201" s="62">
        <v>833923</v>
      </c>
      <c r="B201" s="61" t="s">
        <v>437</v>
      </c>
      <c r="C201" s="63">
        <v>40933</v>
      </c>
      <c r="D201" s="63">
        <v>40966</v>
      </c>
      <c r="E201" s="61" t="s">
        <v>450</v>
      </c>
      <c r="F201" s="61" t="s">
        <v>451</v>
      </c>
      <c r="G201" s="61" t="s">
        <v>501</v>
      </c>
      <c r="H201" s="61" t="s">
        <v>441</v>
      </c>
      <c r="I201" s="61" t="s">
        <v>442</v>
      </c>
      <c r="J201" s="61" t="s">
        <v>443</v>
      </c>
      <c r="K201" s="61" t="s">
        <v>443</v>
      </c>
      <c r="L201" s="64">
        <v>0</v>
      </c>
      <c r="M201" s="64">
        <v>0</v>
      </c>
      <c r="N201" s="64">
        <v>2.0009999999999999</v>
      </c>
      <c r="O201" s="61" t="s">
        <v>444</v>
      </c>
      <c r="P201" s="64">
        <v>18.25</v>
      </c>
      <c r="Q201" s="65">
        <v>34259.230000000003</v>
      </c>
      <c r="R201" s="65">
        <v>5677.02</v>
      </c>
      <c r="S201" s="65">
        <v>4893.75</v>
      </c>
      <c r="T201" s="65">
        <v>392.49</v>
      </c>
      <c r="U201" s="65">
        <v>45222.49</v>
      </c>
    </row>
    <row r="202" spans="1:21" s="61" customFormat="1" hidden="1" x14ac:dyDescent="0.25">
      <c r="A202" s="62">
        <v>816088</v>
      </c>
      <c r="B202" s="61" t="s">
        <v>445</v>
      </c>
      <c r="C202" s="63">
        <v>40842</v>
      </c>
      <c r="D202" s="63">
        <v>40843</v>
      </c>
      <c r="E202" s="61" t="s">
        <v>446</v>
      </c>
      <c r="F202" s="61" t="s">
        <v>452</v>
      </c>
      <c r="G202" s="61" t="s">
        <v>501</v>
      </c>
      <c r="H202" s="61" t="s">
        <v>441</v>
      </c>
      <c r="I202" s="61" t="s">
        <v>442</v>
      </c>
      <c r="J202" s="61" t="s">
        <v>443</v>
      </c>
      <c r="K202" s="61" t="s">
        <v>443</v>
      </c>
      <c r="L202" s="64">
        <v>0</v>
      </c>
      <c r="M202" s="64">
        <v>2.0009999999999999</v>
      </c>
      <c r="N202" s="64">
        <v>5.0010000000000003</v>
      </c>
      <c r="O202" s="61" t="s">
        <v>444</v>
      </c>
      <c r="P202" s="64">
        <v>14</v>
      </c>
      <c r="Q202" s="65">
        <v>144.06</v>
      </c>
      <c r="R202" s="65">
        <v>36.659999999999997</v>
      </c>
      <c r="S202" s="65">
        <v>0</v>
      </c>
      <c r="T202" s="65">
        <v>0</v>
      </c>
      <c r="U202" s="65">
        <v>180.72</v>
      </c>
    </row>
    <row r="203" spans="1:21" s="61" customFormat="1" hidden="1" x14ac:dyDescent="0.25">
      <c r="A203" s="62">
        <v>809590</v>
      </c>
      <c r="B203" s="61" t="s">
        <v>445</v>
      </c>
      <c r="C203" s="63">
        <v>40820</v>
      </c>
      <c r="D203" s="63">
        <v>40820</v>
      </c>
      <c r="E203" s="61" t="s">
        <v>446</v>
      </c>
      <c r="F203" s="61" t="s">
        <v>452</v>
      </c>
      <c r="G203" s="61" t="s">
        <v>501</v>
      </c>
      <c r="H203" s="61" t="s">
        <v>441</v>
      </c>
      <c r="I203" s="61" t="s">
        <v>442</v>
      </c>
      <c r="J203" s="61" t="s">
        <v>443</v>
      </c>
      <c r="K203" s="61" t="s">
        <v>443</v>
      </c>
      <c r="L203" s="64">
        <v>0</v>
      </c>
      <c r="M203" s="64">
        <v>0</v>
      </c>
      <c r="N203" s="64">
        <v>0</v>
      </c>
      <c r="O203" s="61" t="s">
        <v>444</v>
      </c>
      <c r="P203" s="64">
        <v>0</v>
      </c>
      <c r="Q203" s="65">
        <v>0</v>
      </c>
      <c r="R203" s="65">
        <v>0</v>
      </c>
      <c r="S203" s="65">
        <v>0</v>
      </c>
      <c r="T203" s="65">
        <v>0</v>
      </c>
      <c r="U203" s="65">
        <v>0</v>
      </c>
    </row>
    <row r="204" spans="1:21" s="61" customFormat="1" hidden="1" x14ac:dyDescent="0.25">
      <c r="A204" s="62">
        <v>808333</v>
      </c>
      <c r="B204" s="61" t="s">
        <v>445</v>
      </c>
      <c r="C204" s="63">
        <v>40814</v>
      </c>
      <c r="D204" s="63">
        <v>40815</v>
      </c>
      <c r="E204" s="61" t="s">
        <v>446</v>
      </c>
      <c r="F204" s="61" t="s">
        <v>452</v>
      </c>
      <c r="G204" s="61" t="s">
        <v>502</v>
      </c>
      <c r="H204" s="61" t="s">
        <v>441</v>
      </c>
      <c r="I204" s="61" t="s">
        <v>454</v>
      </c>
      <c r="J204" s="61" t="s">
        <v>443</v>
      </c>
      <c r="K204" s="61" t="s">
        <v>443</v>
      </c>
      <c r="L204" s="64">
        <v>0</v>
      </c>
      <c r="M204" s="64">
        <v>0</v>
      </c>
      <c r="N204" s="64">
        <v>3.4409999999999998</v>
      </c>
      <c r="O204" s="61" t="s">
        <v>444</v>
      </c>
      <c r="P204" s="64">
        <v>11</v>
      </c>
      <c r="Q204" s="65">
        <v>204.48</v>
      </c>
      <c r="R204" s="65">
        <v>48.88</v>
      </c>
      <c r="S204" s="65">
        <v>0</v>
      </c>
      <c r="T204" s="65">
        <v>0</v>
      </c>
      <c r="U204" s="65">
        <v>253.36</v>
      </c>
    </row>
    <row r="205" spans="1:21" s="61" customFormat="1" hidden="1" x14ac:dyDescent="0.25">
      <c r="A205" s="62">
        <v>806765</v>
      </c>
      <c r="B205" s="61" t="s">
        <v>445</v>
      </c>
      <c r="C205" s="63">
        <v>40808</v>
      </c>
      <c r="D205" s="63">
        <v>40809</v>
      </c>
      <c r="E205" s="61" t="s">
        <v>446</v>
      </c>
      <c r="F205" s="61" t="s">
        <v>452</v>
      </c>
      <c r="G205" s="61" t="s">
        <v>502</v>
      </c>
      <c r="H205" s="61" t="s">
        <v>441</v>
      </c>
      <c r="I205" s="61" t="s">
        <v>454</v>
      </c>
      <c r="J205" s="61" t="s">
        <v>443</v>
      </c>
      <c r="K205" s="61" t="s">
        <v>443</v>
      </c>
      <c r="L205" s="64">
        <v>0</v>
      </c>
      <c r="M205" s="64">
        <v>0</v>
      </c>
      <c r="N205" s="64">
        <v>3.4409999999999998</v>
      </c>
      <c r="O205" s="61" t="s">
        <v>444</v>
      </c>
      <c r="P205" s="64">
        <v>10.25</v>
      </c>
      <c r="Q205" s="65">
        <v>153.36000000000001</v>
      </c>
      <c r="R205" s="65">
        <v>36.659999999999997</v>
      </c>
      <c r="S205" s="65">
        <v>0</v>
      </c>
      <c r="T205" s="65">
        <v>0</v>
      </c>
      <c r="U205" s="65">
        <v>190.02</v>
      </c>
    </row>
    <row r="206" spans="1:21" s="61" customFormat="1" hidden="1" x14ac:dyDescent="0.25">
      <c r="A206" s="62">
        <v>804757</v>
      </c>
      <c r="B206" s="61" t="s">
        <v>445</v>
      </c>
      <c r="C206" s="63">
        <v>40801</v>
      </c>
      <c r="D206" s="63">
        <v>40802</v>
      </c>
      <c r="E206" s="61" t="s">
        <v>446</v>
      </c>
      <c r="F206" s="61" t="s">
        <v>452</v>
      </c>
      <c r="G206" s="61" t="s">
        <v>501</v>
      </c>
      <c r="H206" s="61" t="s">
        <v>441</v>
      </c>
      <c r="I206" s="61" t="s">
        <v>442</v>
      </c>
      <c r="J206" s="61" t="s">
        <v>443</v>
      </c>
      <c r="K206" s="61" t="s">
        <v>443</v>
      </c>
      <c r="L206" s="64">
        <v>0</v>
      </c>
      <c r="M206" s="64">
        <v>0</v>
      </c>
      <c r="N206" s="64">
        <v>0</v>
      </c>
      <c r="O206" s="61" t="s">
        <v>444</v>
      </c>
      <c r="P206" s="64">
        <v>30.5</v>
      </c>
      <c r="Q206" s="65">
        <v>357.84</v>
      </c>
      <c r="R206" s="65">
        <v>85.54</v>
      </c>
      <c r="S206" s="65">
        <v>0</v>
      </c>
      <c r="T206" s="65">
        <v>0</v>
      </c>
      <c r="U206" s="65">
        <v>443.38</v>
      </c>
    </row>
    <row r="207" spans="1:21" s="61" customFormat="1" hidden="1" x14ac:dyDescent="0.25">
      <c r="A207" s="62">
        <v>800849</v>
      </c>
      <c r="B207" s="61" t="s">
        <v>445</v>
      </c>
      <c r="C207" s="63">
        <v>40786</v>
      </c>
      <c r="D207" s="63">
        <v>40787</v>
      </c>
      <c r="E207" s="61" t="s">
        <v>446</v>
      </c>
      <c r="F207" s="61" t="s">
        <v>452</v>
      </c>
      <c r="G207" s="61" t="s">
        <v>501</v>
      </c>
      <c r="H207" s="61" t="s">
        <v>441</v>
      </c>
      <c r="I207" s="61" t="s">
        <v>442</v>
      </c>
      <c r="J207" s="61" t="s">
        <v>443</v>
      </c>
      <c r="K207" s="61" t="s">
        <v>443</v>
      </c>
      <c r="L207" s="64">
        <v>0</v>
      </c>
      <c r="M207" s="64">
        <v>0</v>
      </c>
      <c r="N207" s="64">
        <v>0</v>
      </c>
      <c r="O207" s="61" t="s">
        <v>444</v>
      </c>
      <c r="P207" s="64">
        <v>14</v>
      </c>
      <c r="Q207" s="65">
        <v>153.36000000000001</v>
      </c>
      <c r="R207" s="65">
        <v>36.659999999999997</v>
      </c>
      <c r="S207" s="65">
        <v>0</v>
      </c>
      <c r="T207" s="65">
        <v>0</v>
      </c>
      <c r="U207" s="65">
        <v>190.02</v>
      </c>
    </row>
    <row r="208" spans="1:21" s="61" customFormat="1" hidden="1" x14ac:dyDescent="0.25">
      <c r="A208" s="62">
        <v>796646</v>
      </c>
      <c r="B208" s="61" t="s">
        <v>445</v>
      </c>
      <c r="C208" s="63">
        <v>40772</v>
      </c>
      <c r="D208" s="63">
        <v>40773</v>
      </c>
      <c r="E208" s="61" t="s">
        <v>446</v>
      </c>
      <c r="F208" s="61" t="s">
        <v>452</v>
      </c>
      <c r="G208" s="61" t="s">
        <v>501</v>
      </c>
      <c r="H208" s="61" t="s">
        <v>441</v>
      </c>
      <c r="I208" s="61" t="s">
        <v>442</v>
      </c>
      <c r="J208" s="61" t="s">
        <v>443</v>
      </c>
      <c r="K208" s="61" t="s">
        <v>443</v>
      </c>
      <c r="L208" s="64">
        <v>0</v>
      </c>
      <c r="M208" s="64">
        <v>0</v>
      </c>
      <c r="N208" s="64">
        <v>0</v>
      </c>
      <c r="O208" s="61" t="s">
        <v>444</v>
      </c>
      <c r="P208" s="64">
        <v>29</v>
      </c>
      <c r="Q208" s="65">
        <v>204.48</v>
      </c>
      <c r="R208" s="65">
        <v>48.88</v>
      </c>
      <c r="S208" s="65">
        <v>0</v>
      </c>
      <c r="T208" s="65">
        <v>0</v>
      </c>
      <c r="U208" s="65">
        <v>253.36</v>
      </c>
    </row>
    <row r="209" spans="1:21" s="61" customFormat="1" hidden="1" x14ac:dyDescent="0.25">
      <c r="A209" s="62">
        <v>791415</v>
      </c>
      <c r="B209" s="61" t="s">
        <v>472</v>
      </c>
      <c r="C209" s="63">
        <v>40758</v>
      </c>
      <c r="D209" s="63">
        <v>40763</v>
      </c>
      <c r="E209" s="61" t="s">
        <v>500</v>
      </c>
      <c r="F209" s="61" t="s">
        <v>490</v>
      </c>
      <c r="G209" s="61" t="s">
        <v>501</v>
      </c>
      <c r="H209" s="61" t="s">
        <v>441</v>
      </c>
      <c r="I209" s="61" t="s">
        <v>442</v>
      </c>
      <c r="J209" s="61" t="s">
        <v>443</v>
      </c>
      <c r="K209" s="61" t="s">
        <v>443</v>
      </c>
      <c r="L209" s="64">
        <v>0</v>
      </c>
      <c r="M209" s="64">
        <v>36.957999999999998</v>
      </c>
      <c r="N209" s="64">
        <v>38.479999999999997</v>
      </c>
      <c r="O209" s="61" t="s">
        <v>444</v>
      </c>
      <c r="P209" s="64">
        <v>0</v>
      </c>
      <c r="Q209" s="65">
        <v>0</v>
      </c>
      <c r="R209" s="65">
        <v>0</v>
      </c>
      <c r="S209" s="65">
        <v>61.78</v>
      </c>
      <c r="T209" s="65">
        <v>0</v>
      </c>
      <c r="U209" s="65">
        <v>61.78</v>
      </c>
    </row>
    <row r="210" spans="1:21" s="61" customFormat="1" hidden="1" x14ac:dyDescent="0.25">
      <c r="A210" s="62">
        <v>791146</v>
      </c>
      <c r="B210" s="61" t="s">
        <v>445</v>
      </c>
      <c r="C210" s="63">
        <v>40756</v>
      </c>
      <c r="D210" s="63">
        <v>40757</v>
      </c>
      <c r="E210" s="61" t="s">
        <v>446</v>
      </c>
      <c r="F210" s="61" t="s">
        <v>452</v>
      </c>
      <c r="G210" s="61" t="s">
        <v>501</v>
      </c>
      <c r="H210" s="61" t="s">
        <v>441</v>
      </c>
      <c r="I210" s="61" t="s">
        <v>442</v>
      </c>
      <c r="J210" s="61" t="s">
        <v>443</v>
      </c>
      <c r="K210" s="61" t="s">
        <v>443</v>
      </c>
      <c r="L210" s="64">
        <v>0</v>
      </c>
      <c r="M210" s="64">
        <v>0</v>
      </c>
      <c r="N210" s="64">
        <v>0</v>
      </c>
      <c r="O210" s="61" t="s">
        <v>444</v>
      </c>
      <c r="P210" s="64">
        <v>18</v>
      </c>
      <c r="Q210" s="65">
        <v>204.48</v>
      </c>
      <c r="R210" s="65">
        <v>48.88</v>
      </c>
      <c r="S210" s="65">
        <v>0</v>
      </c>
      <c r="T210" s="65">
        <v>0</v>
      </c>
      <c r="U210" s="65">
        <v>253.36</v>
      </c>
    </row>
    <row r="211" spans="1:21" s="61" customFormat="1" hidden="1" x14ac:dyDescent="0.25">
      <c r="A211" s="62">
        <v>790128</v>
      </c>
      <c r="B211" s="61" t="s">
        <v>445</v>
      </c>
      <c r="C211" s="63">
        <v>40752</v>
      </c>
      <c r="D211" s="63">
        <v>40753</v>
      </c>
      <c r="E211" s="61" t="s">
        <v>446</v>
      </c>
      <c r="F211" s="61" t="s">
        <v>452</v>
      </c>
      <c r="G211" s="61" t="s">
        <v>501</v>
      </c>
      <c r="H211" s="61" t="s">
        <v>441</v>
      </c>
      <c r="I211" s="61" t="s">
        <v>442</v>
      </c>
      <c r="J211" s="61" t="s">
        <v>443</v>
      </c>
      <c r="K211" s="61" t="s">
        <v>443</v>
      </c>
      <c r="L211" s="64">
        <v>0</v>
      </c>
      <c r="M211" s="64">
        <v>0</v>
      </c>
      <c r="N211" s="64">
        <v>0</v>
      </c>
      <c r="O211" s="61" t="s">
        <v>444</v>
      </c>
      <c r="P211" s="64">
        <v>10</v>
      </c>
      <c r="Q211" s="65">
        <v>153.36000000000001</v>
      </c>
      <c r="R211" s="65">
        <v>36.659999999999997</v>
      </c>
      <c r="S211" s="65">
        <v>0</v>
      </c>
      <c r="T211" s="65">
        <v>0</v>
      </c>
      <c r="U211" s="65">
        <v>190.02</v>
      </c>
    </row>
    <row r="212" spans="1:21" s="61" customFormat="1" hidden="1" x14ac:dyDescent="0.25">
      <c r="A212" s="62">
        <v>785568</v>
      </c>
      <c r="B212" s="61" t="s">
        <v>445</v>
      </c>
      <c r="C212" s="63">
        <v>40738</v>
      </c>
      <c r="D212" s="63">
        <v>40739</v>
      </c>
      <c r="E212" s="61" t="s">
        <v>446</v>
      </c>
      <c r="F212" s="61" t="s">
        <v>452</v>
      </c>
      <c r="G212" s="61" t="s">
        <v>501</v>
      </c>
      <c r="H212" s="61" t="s">
        <v>441</v>
      </c>
      <c r="I212" s="61" t="s">
        <v>442</v>
      </c>
      <c r="J212" s="61" t="s">
        <v>443</v>
      </c>
      <c r="K212" s="61" t="s">
        <v>443</v>
      </c>
      <c r="L212" s="64">
        <v>0</v>
      </c>
      <c r="M212" s="64">
        <v>0</v>
      </c>
      <c r="N212" s="64">
        <v>0</v>
      </c>
      <c r="O212" s="61" t="s">
        <v>444</v>
      </c>
      <c r="P212" s="64">
        <v>18.5</v>
      </c>
      <c r="Q212" s="65">
        <v>191.7</v>
      </c>
      <c r="R212" s="65">
        <v>48.88</v>
      </c>
      <c r="S212" s="65">
        <v>0</v>
      </c>
      <c r="T212" s="65">
        <v>0</v>
      </c>
      <c r="U212" s="65">
        <v>240.58</v>
      </c>
    </row>
    <row r="213" spans="1:21" s="61" customFormat="1" hidden="1" x14ac:dyDescent="0.25">
      <c r="A213" s="62">
        <v>783662</v>
      </c>
      <c r="B213" s="61" t="s">
        <v>445</v>
      </c>
      <c r="C213" s="63">
        <v>40732</v>
      </c>
      <c r="D213" s="63">
        <v>40735</v>
      </c>
      <c r="E213" s="61" t="s">
        <v>485</v>
      </c>
      <c r="F213" s="61" t="s">
        <v>452</v>
      </c>
      <c r="G213" s="61" t="s">
        <v>501</v>
      </c>
      <c r="H213" s="61" t="s">
        <v>457</v>
      </c>
      <c r="I213" s="61" t="s">
        <v>442</v>
      </c>
      <c r="J213" s="61" t="s">
        <v>443</v>
      </c>
      <c r="K213" s="61" t="s">
        <v>443</v>
      </c>
      <c r="L213" s="64">
        <v>0</v>
      </c>
      <c r="M213" s="64">
        <v>0</v>
      </c>
      <c r="N213" s="64">
        <v>0</v>
      </c>
      <c r="O213" s="61" t="s">
        <v>444</v>
      </c>
      <c r="P213" s="64">
        <v>5</v>
      </c>
      <c r="Q213" s="65">
        <v>51.12</v>
      </c>
      <c r="R213" s="65">
        <v>12.22</v>
      </c>
      <c r="S213" s="65">
        <v>0</v>
      </c>
      <c r="T213" s="65">
        <v>0</v>
      </c>
      <c r="U213" s="65">
        <v>63.34</v>
      </c>
    </row>
    <row r="214" spans="1:21" s="61" customFormat="1" hidden="1" x14ac:dyDescent="0.25">
      <c r="A214" s="62">
        <v>780436</v>
      </c>
      <c r="B214" s="61" t="s">
        <v>445</v>
      </c>
      <c r="C214" s="63">
        <v>40721</v>
      </c>
      <c r="D214" s="63">
        <v>40722</v>
      </c>
      <c r="E214" s="61" t="s">
        <v>446</v>
      </c>
      <c r="F214" s="61" t="s">
        <v>452</v>
      </c>
      <c r="G214" s="61" t="s">
        <v>501</v>
      </c>
      <c r="H214" s="61" t="s">
        <v>441</v>
      </c>
      <c r="I214" s="61" t="s">
        <v>442</v>
      </c>
      <c r="J214" s="61" t="s">
        <v>443</v>
      </c>
      <c r="K214" s="61" t="s">
        <v>443</v>
      </c>
      <c r="L214" s="64">
        <v>0</v>
      </c>
      <c r="M214" s="64">
        <v>0</v>
      </c>
      <c r="N214" s="64">
        <v>0</v>
      </c>
      <c r="O214" s="61" t="s">
        <v>444</v>
      </c>
      <c r="P214" s="64">
        <v>10</v>
      </c>
      <c r="Q214" s="65">
        <v>153.36000000000001</v>
      </c>
      <c r="R214" s="65">
        <v>36.659999999999997</v>
      </c>
      <c r="S214" s="65">
        <v>0</v>
      </c>
      <c r="T214" s="65">
        <v>0</v>
      </c>
      <c r="U214" s="65">
        <v>190.02</v>
      </c>
    </row>
    <row r="215" spans="1:21" s="61" customFormat="1" hidden="1" x14ac:dyDescent="0.25">
      <c r="A215" s="62">
        <v>779692</v>
      </c>
      <c r="B215" s="61" t="s">
        <v>445</v>
      </c>
      <c r="C215" s="63">
        <v>40717</v>
      </c>
      <c r="D215" s="63">
        <v>40718</v>
      </c>
      <c r="E215" s="61" t="s">
        <v>446</v>
      </c>
      <c r="F215" s="61" t="s">
        <v>452</v>
      </c>
      <c r="G215" s="61" t="s">
        <v>501</v>
      </c>
      <c r="H215" s="61" t="s">
        <v>441</v>
      </c>
      <c r="I215" s="61" t="s">
        <v>442</v>
      </c>
      <c r="J215" s="61" t="s">
        <v>443</v>
      </c>
      <c r="K215" s="61" t="s">
        <v>443</v>
      </c>
      <c r="L215" s="64">
        <v>0</v>
      </c>
      <c r="M215" s="64">
        <v>0</v>
      </c>
      <c r="N215" s="64">
        <v>0</v>
      </c>
      <c r="O215" s="61" t="s">
        <v>444</v>
      </c>
      <c r="P215" s="64">
        <v>12.5</v>
      </c>
      <c r="Q215" s="65">
        <v>153.36000000000001</v>
      </c>
      <c r="R215" s="65">
        <v>36.659999999999997</v>
      </c>
      <c r="S215" s="65">
        <v>0</v>
      </c>
      <c r="T215" s="65">
        <v>0</v>
      </c>
      <c r="U215" s="65">
        <v>190.02</v>
      </c>
    </row>
    <row r="216" spans="1:21" s="61" customFormat="1" hidden="1" x14ac:dyDescent="0.25">
      <c r="A216" s="62">
        <v>778760</v>
      </c>
      <c r="B216" s="61" t="s">
        <v>445</v>
      </c>
      <c r="C216" s="63">
        <v>40715</v>
      </c>
      <c r="D216" s="63">
        <v>40716</v>
      </c>
      <c r="E216" s="61" t="s">
        <v>446</v>
      </c>
      <c r="F216" s="61" t="s">
        <v>452</v>
      </c>
      <c r="G216" s="61" t="s">
        <v>501</v>
      </c>
      <c r="H216" s="61" t="s">
        <v>441</v>
      </c>
      <c r="I216" s="61" t="s">
        <v>442</v>
      </c>
      <c r="J216" s="61" t="s">
        <v>443</v>
      </c>
      <c r="K216" s="61" t="s">
        <v>443</v>
      </c>
      <c r="L216" s="64">
        <v>0</v>
      </c>
      <c r="M216" s="64">
        <v>0</v>
      </c>
      <c r="N216" s="64">
        <v>0</v>
      </c>
      <c r="O216" s="61" t="s">
        <v>444</v>
      </c>
      <c r="P216" s="64">
        <v>1000</v>
      </c>
      <c r="Q216" s="65">
        <v>920.16</v>
      </c>
      <c r="R216" s="65">
        <v>109.98</v>
      </c>
      <c r="S216" s="65">
        <v>0</v>
      </c>
      <c r="T216" s="65">
        <v>0</v>
      </c>
      <c r="U216" s="65">
        <v>1030.1400000000001</v>
      </c>
    </row>
    <row r="217" spans="1:21" s="61" customFormat="1" hidden="1" x14ac:dyDescent="0.25">
      <c r="A217" s="62">
        <v>776567</v>
      </c>
      <c r="B217" s="61" t="s">
        <v>445</v>
      </c>
      <c r="C217" s="63">
        <v>40708</v>
      </c>
      <c r="D217" s="63">
        <v>40709</v>
      </c>
      <c r="E217" s="61" t="s">
        <v>446</v>
      </c>
      <c r="F217" s="61" t="s">
        <v>452</v>
      </c>
      <c r="G217" s="61" t="s">
        <v>501</v>
      </c>
      <c r="H217" s="61" t="s">
        <v>441</v>
      </c>
      <c r="I217" s="61" t="s">
        <v>442</v>
      </c>
      <c r="J217" s="61" t="s">
        <v>443</v>
      </c>
      <c r="K217" s="61" t="s">
        <v>443</v>
      </c>
      <c r="L217" s="64">
        <v>0</v>
      </c>
      <c r="M217" s="64">
        <v>4</v>
      </c>
      <c r="N217" s="64">
        <v>4</v>
      </c>
      <c r="O217" s="61" t="s">
        <v>444</v>
      </c>
      <c r="P217" s="64">
        <v>5</v>
      </c>
      <c r="Q217" s="65">
        <v>102.24</v>
      </c>
      <c r="R217" s="65">
        <v>24.44</v>
      </c>
      <c r="S217" s="65">
        <v>0</v>
      </c>
      <c r="T217" s="65">
        <v>0</v>
      </c>
      <c r="U217" s="65">
        <v>126.68</v>
      </c>
    </row>
    <row r="218" spans="1:21" s="61" customFormat="1" hidden="1" x14ac:dyDescent="0.25">
      <c r="A218" s="62">
        <v>772397</v>
      </c>
      <c r="B218" s="61" t="s">
        <v>445</v>
      </c>
      <c r="C218" s="63">
        <v>40695</v>
      </c>
      <c r="D218" s="63">
        <v>40696</v>
      </c>
      <c r="E218" s="61" t="s">
        <v>446</v>
      </c>
      <c r="F218" s="61" t="s">
        <v>452</v>
      </c>
      <c r="G218" s="61" t="s">
        <v>502</v>
      </c>
      <c r="H218" s="61" t="s">
        <v>441</v>
      </c>
      <c r="I218" s="61" t="s">
        <v>454</v>
      </c>
      <c r="J218" s="61" t="s">
        <v>443</v>
      </c>
      <c r="K218" s="61" t="s">
        <v>443</v>
      </c>
      <c r="L218" s="64">
        <v>0</v>
      </c>
      <c r="M218" s="64">
        <v>0</v>
      </c>
      <c r="N218" s="64">
        <v>3.4409999999999998</v>
      </c>
      <c r="O218" s="61" t="s">
        <v>444</v>
      </c>
      <c r="P218" s="64">
        <v>9</v>
      </c>
      <c r="Q218" s="65">
        <v>102.24</v>
      </c>
      <c r="R218" s="65">
        <v>24.44</v>
      </c>
      <c r="S218" s="65">
        <v>0</v>
      </c>
      <c r="T218" s="65">
        <v>0</v>
      </c>
      <c r="U218" s="65">
        <v>126.68</v>
      </c>
    </row>
    <row r="219" spans="1:21" s="61" customFormat="1" hidden="1" x14ac:dyDescent="0.25">
      <c r="A219" s="62">
        <v>772393</v>
      </c>
      <c r="B219" s="61" t="s">
        <v>445</v>
      </c>
      <c r="C219" s="63">
        <v>40694</v>
      </c>
      <c r="D219" s="63">
        <v>40696</v>
      </c>
      <c r="E219" s="61" t="s">
        <v>446</v>
      </c>
      <c r="F219" s="61" t="s">
        <v>452</v>
      </c>
      <c r="G219" s="61" t="s">
        <v>501</v>
      </c>
      <c r="H219" s="61" t="s">
        <v>441</v>
      </c>
      <c r="I219" s="61" t="s">
        <v>442</v>
      </c>
      <c r="J219" s="61" t="s">
        <v>443</v>
      </c>
      <c r="K219" s="61" t="s">
        <v>443</v>
      </c>
      <c r="L219" s="64">
        <v>0</v>
      </c>
      <c r="M219" s="64">
        <v>2</v>
      </c>
      <c r="N219" s="64">
        <v>2</v>
      </c>
      <c r="O219" s="61" t="s">
        <v>444</v>
      </c>
      <c r="P219" s="64">
        <v>0</v>
      </c>
      <c r="Q219" s="65">
        <v>102.24</v>
      </c>
      <c r="R219" s="65">
        <v>24.44</v>
      </c>
      <c r="S219" s="65">
        <v>0</v>
      </c>
      <c r="T219" s="65">
        <v>0</v>
      </c>
      <c r="U219" s="65">
        <v>126.68</v>
      </c>
    </row>
    <row r="220" spans="1:21" s="61" customFormat="1" hidden="1" x14ac:dyDescent="0.25">
      <c r="A220" s="62">
        <v>771040</v>
      </c>
      <c r="B220" s="61" t="s">
        <v>445</v>
      </c>
      <c r="C220" s="63">
        <v>40688</v>
      </c>
      <c r="D220" s="63">
        <v>40690</v>
      </c>
      <c r="E220" s="61" t="s">
        <v>446</v>
      </c>
      <c r="F220" s="61" t="s">
        <v>452</v>
      </c>
      <c r="G220" s="61" t="s">
        <v>501</v>
      </c>
      <c r="H220" s="61" t="s">
        <v>441</v>
      </c>
      <c r="I220" s="61" t="s">
        <v>442</v>
      </c>
      <c r="J220" s="61" t="s">
        <v>443</v>
      </c>
      <c r="K220" s="61" t="s">
        <v>443</v>
      </c>
      <c r="L220" s="64">
        <v>0</v>
      </c>
      <c r="M220" s="64">
        <v>0</v>
      </c>
      <c r="N220" s="64">
        <v>0</v>
      </c>
      <c r="O220" s="61" t="s">
        <v>444</v>
      </c>
      <c r="P220" s="64">
        <v>15.5</v>
      </c>
      <c r="Q220" s="65">
        <v>102.24</v>
      </c>
      <c r="R220" s="65">
        <v>24.44</v>
      </c>
      <c r="S220" s="65">
        <v>0</v>
      </c>
      <c r="T220" s="65">
        <v>0</v>
      </c>
      <c r="U220" s="65">
        <v>126.68</v>
      </c>
    </row>
    <row r="221" spans="1:21" s="61" customFormat="1" hidden="1" x14ac:dyDescent="0.25">
      <c r="A221" s="62">
        <v>770180</v>
      </c>
      <c r="B221" s="61" t="s">
        <v>445</v>
      </c>
      <c r="C221" s="63">
        <v>40687</v>
      </c>
      <c r="D221" s="63">
        <v>40688</v>
      </c>
      <c r="E221" s="61" t="s">
        <v>446</v>
      </c>
      <c r="F221" s="61" t="s">
        <v>452</v>
      </c>
      <c r="G221" s="61" t="s">
        <v>501</v>
      </c>
      <c r="H221" s="61" t="s">
        <v>441</v>
      </c>
      <c r="I221" s="61" t="s">
        <v>442</v>
      </c>
      <c r="J221" s="61" t="s">
        <v>443</v>
      </c>
      <c r="K221" s="61" t="s">
        <v>443</v>
      </c>
      <c r="L221" s="64">
        <v>0</v>
      </c>
      <c r="M221" s="64">
        <v>0</v>
      </c>
      <c r="N221" s="64">
        <v>0</v>
      </c>
      <c r="O221" s="61" t="s">
        <v>444</v>
      </c>
      <c r="P221" s="64">
        <v>12.5</v>
      </c>
      <c r="Q221" s="65">
        <v>102.24</v>
      </c>
      <c r="R221" s="65">
        <v>24.44</v>
      </c>
      <c r="S221" s="65">
        <v>0</v>
      </c>
      <c r="T221" s="65">
        <v>0</v>
      </c>
      <c r="U221" s="65">
        <v>126.68</v>
      </c>
    </row>
    <row r="222" spans="1:21" s="61" customFormat="1" hidden="1" x14ac:dyDescent="0.25">
      <c r="A222" s="62">
        <v>767293</v>
      </c>
      <c r="B222" s="61" t="s">
        <v>437</v>
      </c>
      <c r="C222" s="63">
        <v>40679</v>
      </c>
      <c r="D222" s="63">
        <v>40683</v>
      </c>
      <c r="E222" s="61" t="s">
        <v>450</v>
      </c>
      <c r="F222" s="61" t="s">
        <v>503</v>
      </c>
      <c r="G222" s="61" t="s">
        <v>501</v>
      </c>
      <c r="H222" s="61" t="s">
        <v>441</v>
      </c>
      <c r="I222" s="61" t="s">
        <v>442</v>
      </c>
      <c r="J222" s="61" t="s">
        <v>443</v>
      </c>
      <c r="K222" s="61" t="s">
        <v>443</v>
      </c>
      <c r="L222" s="64">
        <v>0</v>
      </c>
      <c r="M222" s="64">
        <v>0</v>
      </c>
      <c r="N222" s="64">
        <v>0</v>
      </c>
      <c r="O222" s="61" t="s">
        <v>444</v>
      </c>
      <c r="P222" s="64">
        <v>222.5</v>
      </c>
      <c r="Q222" s="65">
        <v>5802.43</v>
      </c>
      <c r="R222" s="65">
        <v>2096.48</v>
      </c>
      <c r="S222" s="65">
        <v>0</v>
      </c>
      <c r="T222" s="65">
        <v>47.24</v>
      </c>
      <c r="U222" s="65">
        <v>7946.15</v>
      </c>
    </row>
    <row r="223" spans="1:21" s="61" customFormat="1" hidden="1" x14ac:dyDescent="0.25">
      <c r="A223" s="62">
        <v>766453</v>
      </c>
      <c r="B223" s="61" t="s">
        <v>445</v>
      </c>
      <c r="C223" s="63">
        <v>40675</v>
      </c>
      <c r="D223" s="63">
        <v>40676</v>
      </c>
      <c r="E223" s="61" t="s">
        <v>446</v>
      </c>
      <c r="F223" s="61" t="s">
        <v>447</v>
      </c>
      <c r="G223" s="61" t="s">
        <v>501</v>
      </c>
      <c r="H223" s="61" t="s">
        <v>441</v>
      </c>
      <c r="I223" s="61" t="s">
        <v>442</v>
      </c>
      <c r="J223" s="61" t="s">
        <v>443</v>
      </c>
      <c r="K223" s="61" t="s">
        <v>443</v>
      </c>
      <c r="L223" s="64">
        <v>0</v>
      </c>
      <c r="M223" s="64">
        <v>0.1</v>
      </c>
      <c r="N223" s="64">
        <v>0.1</v>
      </c>
      <c r="O223" s="61" t="s">
        <v>444</v>
      </c>
      <c r="P223" s="64">
        <v>2</v>
      </c>
      <c r="Q223" s="65">
        <v>51.12</v>
      </c>
      <c r="R223" s="65">
        <v>12.22</v>
      </c>
      <c r="S223" s="65">
        <v>0</v>
      </c>
      <c r="T223" s="65">
        <v>0</v>
      </c>
      <c r="U223" s="65">
        <v>63.34</v>
      </c>
    </row>
    <row r="224" spans="1:21" s="61" customFormat="1" hidden="1" x14ac:dyDescent="0.25">
      <c r="A224" s="62">
        <v>756125</v>
      </c>
      <c r="B224" s="61" t="s">
        <v>472</v>
      </c>
      <c r="C224" s="63">
        <v>40641</v>
      </c>
      <c r="D224" s="63">
        <v>40660</v>
      </c>
      <c r="E224" s="61" t="s">
        <v>500</v>
      </c>
      <c r="F224" s="61" t="s">
        <v>490</v>
      </c>
      <c r="G224" s="61" t="s">
        <v>501</v>
      </c>
      <c r="H224" s="61" t="s">
        <v>441</v>
      </c>
      <c r="I224" s="61" t="s">
        <v>442</v>
      </c>
      <c r="J224" s="61" t="s">
        <v>443</v>
      </c>
      <c r="K224" s="61" t="s">
        <v>443</v>
      </c>
      <c r="L224" s="64">
        <v>0</v>
      </c>
      <c r="M224" s="64">
        <v>0</v>
      </c>
      <c r="N224" s="64">
        <v>3.0009999999999999</v>
      </c>
      <c r="O224" s="61" t="s">
        <v>444</v>
      </c>
      <c r="P224" s="64">
        <v>11880</v>
      </c>
      <c r="Q224" s="65">
        <v>153.77000000000001</v>
      </c>
      <c r="R224" s="65">
        <v>111.6</v>
      </c>
      <c r="S224" s="65">
        <v>47.28</v>
      </c>
      <c r="T224" s="65">
        <v>0</v>
      </c>
      <c r="U224" s="65">
        <v>312.64</v>
      </c>
    </row>
    <row r="225" spans="1:21" s="61" customFormat="1" hidden="1" x14ac:dyDescent="0.25">
      <c r="A225" s="62">
        <v>756125</v>
      </c>
      <c r="B225" s="61" t="s">
        <v>472</v>
      </c>
      <c r="C225" s="63">
        <v>40641</v>
      </c>
      <c r="D225" s="63">
        <v>40660</v>
      </c>
      <c r="E225" s="61" t="s">
        <v>500</v>
      </c>
      <c r="F225" s="61" t="s">
        <v>490</v>
      </c>
      <c r="G225" s="61" t="s">
        <v>502</v>
      </c>
      <c r="H225" s="61" t="s">
        <v>441</v>
      </c>
      <c r="I225" s="61" t="s">
        <v>454</v>
      </c>
      <c r="J225" s="61" t="s">
        <v>443</v>
      </c>
      <c r="K225" s="61" t="s">
        <v>443</v>
      </c>
      <c r="L225" s="64">
        <v>0</v>
      </c>
      <c r="M225" s="64">
        <v>0</v>
      </c>
      <c r="N225" s="64">
        <v>3.4409999999999998</v>
      </c>
      <c r="O225" s="61" t="s">
        <v>444</v>
      </c>
      <c r="P225" s="64">
        <v>11880</v>
      </c>
      <c r="Q225" s="65">
        <v>153.77000000000001</v>
      </c>
      <c r="R225" s="65">
        <v>111.6</v>
      </c>
      <c r="S225" s="65">
        <v>47.28</v>
      </c>
      <c r="T225" s="65">
        <v>0</v>
      </c>
      <c r="U225" s="65">
        <v>312.64</v>
      </c>
    </row>
    <row r="226" spans="1:21" s="61" customFormat="1" hidden="1" x14ac:dyDescent="0.25">
      <c r="A226" s="62">
        <v>746465</v>
      </c>
      <c r="B226" s="61" t="s">
        <v>445</v>
      </c>
      <c r="C226" s="63">
        <v>40609</v>
      </c>
      <c r="D226" s="63">
        <v>40610</v>
      </c>
      <c r="E226" s="61" t="s">
        <v>446</v>
      </c>
      <c r="F226" s="61" t="s">
        <v>452</v>
      </c>
      <c r="G226" s="61" t="s">
        <v>501</v>
      </c>
      <c r="H226" s="61" t="s">
        <v>441</v>
      </c>
      <c r="I226" s="61" t="s">
        <v>442</v>
      </c>
      <c r="J226" s="61" t="s">
        <v>443</v>
      </c>
      <c r="K226" s="61" t="s">
        <v>443</v>
      </c>
      <c r="L226" s="64">
        <v>0</v>
      </c>
      <c r="M226" s="64">
        <v>0</v>
      </c>
      <c r="N226" s="64">
        <v>0</v>
      </c>
      <c r="O226" s="61" t="s">
        <v>444</v>
      </c>
      <c r="P226" s="64">
        <v>47</v>
      </c>
      <c r="Q226" s="65">
        <v>274.44</v>
      </c>
      <c r="R226" s="65">
        <v>73.319999999999993</v>
      </c>
      <c r="S226" s="65">
        <v>0</v>
      </c>
      <c r="T226" s="65">
        <v>0</v>
      </c>
      <c r="U226" s="65">
        <v>347.76</v>
      </c>
    </row>
    <row r="227" spans="1:21" s="61" customFormat="1" hidden="1" x14ac:dyDescent="0.25">
      <c r="A227" s="62">
        <v>741677</v>
      </c>
      <c r="B227" s="61" t="s">
        <v>437</v>
      </c>
      <c r="C227" s="63">
        <v>40596</v>
      </c>
      <c r="D227" s="63">
        <v>40599</v>
      </c>
      <c r="E227" s="61" t="s">
        <v>450</v>
      </c>
      <c r="F227" s="61" t="s">
        <v>491</v>
      </c>
      <c r="G227" s="61" t="s">
        <v>501</v>
      </c>
      <c r="H227" s="61" t="s">
        <v>441</v>
      </c>
      <c r="I227" s="61" t="s">
        <v>442</v>
      </c>
      <c r="J227" s="61" t="s">
        <v>443</v>
      </c>
      <c r="K227" s="61" t="s">
        <v>443</v>
      </c>
      <c r="L227" s="64">
        <v>0</v>
      </c>
      <c r="M227" s="64">
        <v>19.968</v>
      </c>
      <c r="N227" s="64">
        <v>25.968</v>
      </c>
      <c r="O227" s="61" t="s">
        <v>444</v>
      </c>
      <c r="P227" s="64">
        <v>0</v>
      </c>
      <c r="Q227" s="65">
        <v>3948.31</v>
      </c>
      <c r="R227" s="65">
        <v>1084.92</v>
      </c>
      <c r="S227" s="65">
        <v>2306.1999999999998</v>
      </c>
      <c r="T227" s="65">
        <v>0</v>
      </c>
      <c r="U227" s="65">
        <v>7339.43</v>
      </c>
    </row>
    <row r="228" spans="1:21" s="61" customFormat="1" hidden="1" x14ac:dyDescent="0.25">
      <c r="A228" s="62">
        <v>736825</v>
      </c>
      <c r="B228" s="61" t="s">
        <v>445</v>
      </c>
      <c r="C228" s="63">
        <v>40577</v>
      </c>
      <c r="D228" s="63">
        <v>40578</v>
      </c>
      <c r="E228" s="61" t="s">
        <v>446</v>
      </c>
      <c r="F228" s="61" t="s">
        <v>452</v>
      </c>
      <c r="G228" s="61" t="s">
        <v>501</v>
      </c>
      <c r="H228" s="61" t="s">
        <v>441</v>
      </c>
      <c r="I228" s="61" t="s">
        <v>442</v>
      </c>
      <c r="J228" s="61" t="s">
        <v>443</v>
      </c>
      <c r="K228" s="61" t="s">
        <v>443</v>
      </c>
      <c r="L228" s="64">
        <v>0</v>
      </c>
      <c r="M228" s="64">
        <v>0</v>
      </c>
      <c r="N228" s="64">
        <v>0</v>
      </c>
      <c r="O228" s="61" t="s">
        <v>444</v>
      </c>
      <c r="P228" s="64">
        <v>16</v>
      </c>
      <c r="Q228" s="65">
        <v>365.92</v>
      </c>
      <c r="R228" s="65">
        <v>97.76</v>
      </c>
      <c r="S228" s="65">
        <v>0</v>
      </c>
      <c r="T228" s="65">
        <v>0</v>
      </c>
      <c r="U228" s="65">
        <v>463.68</v>
      </c>
    </row>
    <row r="229" spans="1:21" s="61" customFormat="1" hidden="1" x14ac:dyDescent="0.25">
      <c r="A229" s="62">
        <v>736274</v>
      </c>
      <c r="B229" s="61" t="s">
        <v>445</v>
      </c>
      <c r="C229" s="63">
        <v>40576</v>
      </c>
      <c r="D229" s="63">
        <v>40577</v>
      </c>
      <c r="E229" s="61" t="s">
        <v>446</v>
      </c>
      <c r="F229" s="61" t="s">
        <v>447</v>
      </c>
      <c r="G229" s="61" t="s">
        <v>501</v>
      </c>
      <c r="H229" s="61" t="s">
        <v>441</v>
      </c>
      <c r="I229" s="61" t="s">
        <v>442</v>
      </c>
      <c r="J229" s="61" t="s">
        <v>443</v>
      </c>
      <c r="K229" s="61" t="s">
        <v>443</v>
      </c>
      <c r="L229" s="64">
        <v>0</v>
      </c>
      <c r="M229" s="64">
        <v>2.5009999999999999</v>
      </c>
      <c r="N229" s="64">
        <v>4.5</v>
      </c>
      <c r="O229" s="61" t="s">
        <v>444</v>
      </c>
      <c r="P229" s="64">
        <v>3</v>
      </c>
      <c r="Q229" s="65">
        <v>91.48</v>
      </c>
      <c r="R229" s="65">
        <v>24.44</v>
      </c>
      <c r="S229" s="65">
        <v>0</v>
      </c>
      <c r="T229" s="65">
        <v>0</v>
      </c>
      <c r="U229" s="65">
        <v>115.92</v>
      </c>
    </row>
    <row r="230" spans="1:21" s="61" customFormat="1" hidden="1" x14ac:dyDescent="0.25">
      <c r="A230" s="62">
        <v>724545</v>
      </c>
      <c r="B230" s="61" t="s">
        <v>445</v>
      </c>
      <c r="C230" s="63">
        <v>40513</v>
      </c>
      <c r="D230" s="63">
        <v>40514</v>
      </c>
      <c r="E230" s="61" t="s">
        <v>446</v>
      </c>
      <c r="F230" s="61" t="s">
        <v>452</v>
      </c>
      <c r="G230" s="61" t="s">
        <v>502</v>
      </c>
      <c r="H230" s="61" t="s">
        <v>441</v>
      </c>
      <c r="I230" s="61" t="s">
        <v>454</v>
      </c>
      <c r="J230" s="61" t="s">
        <v>443</v>
      </c>
      <c r="K230" s="61" t="s">
        <v>443</v>
      </c>
      <c r="L230" s="64">
        <v>0</v>
      </c>
      <c r="M230" s="64">
        <v>0.1</v>
      </c>
      <c r="N230" s="64">
        <v>0.1</v>
      </c>
      <c r="O230" s="61" t="s">
        <v>444</v>
      </c>
      <c r="P230" s="64">
        <v>9</v>
      </c>
      <c r="Q230" s="65">
        <v>35.17</v>
      </c>
      <c r="R230" s="65">
        <v>12.22</v>
      </c>
      <c r="S230" s="65">
        <v>0</v>
      </c>
      <c r="T230" s="65">
        <v>0</v>
      </c>
      <c r="U230" s="65">
        <v>47.39</v>
      </c>
    </row>
    <row r="231" spans="1:21" s="61" customFormat="1" hidden="1" x14ac:dyDescent="0.25">
      <c r="A231" s="62">
        <v>715577</v>
      </c>
      <c r="B231" s="61" t="s">
        <v>445</v>
      </c>
      <c r="C231" s="63">
        <v>40476</v>
      </c>
      <c r="D231" s="63">
        <v>40477</v>
      </c>
      <c r="E231" s="61" t="s">
        <v>446</v>
      </c>
      <c r="F231" s="61" t="s">
        <v>447</v>
      </c>
      <c r="G231" s="61" t="s">
        <v>501</v>
      </c>
      <c r="H231" s="61" t="s">
        <v>441</v>
      </c>
      <c r="I231" s="61" t="s">
        <v>442</v>
      </c>
      <c r="J231" s="61" t="s">
        <v>443</v>
      </c>
      <c r="K231" s="61" t="s">
        <v>443</v>
      </c>
      <c r="L231" s="64">
        <v>0</v>
      </c>
      <c r="M231" s="64">
        <v>0</v>
      </c>
      <c r="N231" s="64">
        <v>0</v>
      </c>
      <c r="O231" s="61" t="s">
        <v>444</v>
      </c>
      <c r="P231" s="64">
        <v>1</v>
      </c>
      <c r="Q231" s="65">
        <v>45.74</v>
      </c>
      <c r="R231" s="65">
        <v>12.22</v>
      </c>
      <c r="S231" s="65">
        <v>0</v>
      </c>
      <c r="T231" s="65">
        <v>0</v>
      </c>
      <c r="U231" s="65">
        <v>57.96</v>
      </c>
    </row>
    <row r="232" spans="1:21" s="61" customFormat="1" hidden="1" x14ac:dyDescent="0.25">
      <c r="A232" s="62">
        <v>707533</v>
      </c>
      <c r="B232" s="61" t="s">
        <v>445</v>
      </c>
      <c r="C232" s="63">
        <v>40449</v>
      </c>
      <c r="D232" s="63">
        <v>40450</v>
      </c>
      <c r="E232" s="61" t="s">
        <v>446</v>
      </c>
      <c r="F232" s="61" t="s">
        <v>452</v>
      </c>
      <c r="G232" s="61" t="s">
        <v>501</v>
      </c>
      <c r="H232" s="61" t="s">
        <v>441</v>
      </c>
      <c r="I232" s="61" t="s">
        <v>442</v>
      </c>
      <c r="J232" s="61" t="s">
        <v>443</v>
      </c>
      <c r="K232" s="61" t="s">
        <v>443</v>
      </c>
      <c r="L232" s="64">
        <v>0</v>
      </c>
      <c r="M232" s="64">
        <v>8</v>
      </c>
      <c r="N232" s="64">
        <v>8</v>
      </c>
      <c r="O232" s="61" t="s">
        <v>444</v>
      </c>
      <c r="P232" s="64">
        <v>15.5</v>
      </c>
      <c r="Q232" s="65">
        <v>91.92</v>
      </c>
      <c r="R232" s="65">
        <v>24.44</v>
      </c>
      <c r="S232" s="65">
        <v>0</v>
      </c>
      <c r="T232" s="65">
        <v>0</v>
      </c>
      <c r="U232" s="65">
        <v>116.36</v>
      </c>
    </row>
    <row r="233" spans="1:21" s="61" customFormat="1" hidden="1" x14ac:dyDescent="0.25">
      <c r="A233" s="62">
        <v>704317</v>
      </c>
      <c r="B233" s="61" t="s">
        <v>445</v>
      </c>
      <c r="C233" s="63">
        <v>40437</v>
      </c>
      <c r="D233" s="63">
        <v>40438</v>
      </c>
      <c r="E233" s="61" t="s">
        <v>446</v>
      </c>
      <c r="F233" s="61" t="s">
        <v>447</v>
      </c>
      <c r="G233" s="61" t="s">
        <v>501</v>
      </c>
      <c r="H233" s="61" t="s">
        <v>441</v>
      </c>
      <c r="I233" s="61" t="s">
        <v>442</v>
      </c>
      <c r="J233" s="61" t="s">
        <v>443</v>
      </c>
      <c r="K233" s="61" t="s">
        <v>443</v>
      </c>
      <c r="L233" s="64">
        <v>0</v>
      </c>
      <c r="M233" s="64">
        <v>6.5</v>
      </c>
      <c r="N233" s="64">
        <v>6.5</v>
      </c>
      <c r="O233" s="61" t="s">
        <v>444</v>
      </c>
      <c r="P233" s="64">
        <v>3</v>
      </c>
      <c r="Q233" s="65">
        <v>36.299999999999997</v>
      </c>
      <c r="R233" s="65">
        <v>12.22</v>
      </c>
      <c r="S233" s="65">
        <v>0</v>
      </c>
      <c r="T233" s="65">
        <v>0</v>
      </c>
      <c r="U233" s="65">
        <v>48.52</v>
      </c>
    </row>
    <row r="234" spans="1:21" s="61" customFormat="1" hidden="1" x14ac:dyDescent="0.25">
      <c r="A234" s="62">
        <v>700184</v>
      </c>
      <c r="B234" s="61" t="s">
        <v>445</v>
      </c>
      <c r="C234" s="63">
        <v>40423</v>
      </c>
      <c r="D234" s="63">
        <v>40424</v>
      </c>
      <c r="E234" s="61" t="s">
        <v>446</v>
      </c>
      <c r="F234" s="61" t="s">
        <v>452</v>
      </c>
      <c r="G234" s="61" t="s">
        <v>501</v>
      </c>
      <c r="H234" s="61" t="s">
        <v>441</v>
      </c>
      <c r="I234" s="61" t="s">
        <v>442</v>
      </c>
      <c r="J234" s="61" t="s">
        <v>443</v>
      </c>
      <c r="K234" s="61" t="s">
        <v>443</v>
      </c>
      <c r="L234" s="64">
        <v>0</v>
      </c>
      <c r="M234" s="64">
        <v>0</v>
      </c>
      <c r="N234" s="64">
        <v>0</v>
      </c>
      <c r="O234" s="61" t="s">
        <v>444</v>
      </c>
      <c r="P234" s="64">
        <v>26.5</v>
      </c>
      <c r="Q234" s="65">
        <v>108.9</v>
      </c>
      <c r="R234" s="65">
        <v>36.659999999999997</v>
      </c>
      <c r="S234" s="65">
        <v>0</v>
      </c>
      <c r="T234" s="65">
        <v>0</v>
      </c>
      <c r="U234" s="65">
        <v>145.56</v>
      </c>
    </row>
    <row r="235" spans="1:21" s="61" customFormat="1" hidden="1" x14ac:dyDescent="0.25">
      <c r="A235" s="62">
        <v>697860</v>
      </c>
      <c r="B235" s="61" t="s">
        <v>445</v>
      </c>
      <c r="C235" s="63">
        <v>40416</v>
      </c>
      <c r="D235" s="63">
        <v>40417</v>
      </c>
      <c r="E235" s="61" t="s">
        <v>446</v>
      </c>
      <c r="F235" s="61" t="s">
        <v>447</v>
      </c>
      <c r="G235" s="61" t="s">
        <v>502</v>
      </c>
      <c r="H235" s="61" t="s">
        <v>441</v>
      </c>
      <c r="I235" s="61" t="s">
        <v>454</v>
      </c>
      <c r="J235" s="61" t="s">
        <v>443</v>
      </c>
      <c r="K235" s="61" t="s">
        <v>443</v>
      </c>
      <c r="L235" s="64">
        <v>0</v>
      </c>
      <c r="M235" s="64">
        <v>0.5</v>
      </c>
      <c r="N235" s="64">
        <v>0.5</v>
      </c>
      <c r="O235" s="61" t="s">
        <v>444</v>
      </c>
      <c r="P235" s="64">
        <v>2</v>
      </c>
      <c r="Q235" s="65">
        <v>22.98</v>
      </c>
      <c r="R235" s="65">
        <v>12.22</v>
      </c>
      <c r="S235" s="65">
        <v>0</v>
      </c>
      <c r="T235" s="65">
        <v>0</v>
      </c>
      <c r="U235" s="65">
        <v>35.200000000000003</v>
      </c>
    </row>
    <row r="236" spans="1:21" s="61" customFormat="1" hidden="1" x14ac:dyDescent="0.25">
      <c r="A236" s="62">
        <v>689346</v>
      </c>
      <c r="B236" s="61" t="s">
        <v>445</v>
      </c>
      <c r="C236" s="63">
        <v>40389</v>
      </c>
      <c r="D236" s="63">
        <v>40392</v>
      </c>
      <c r="E236" s="61" t="s">
        <v>446</v>
      </c>
      <c r="F236" s="61" t="s">
        <v>452</v>
      </c>
      <c r="G236" s="61" t="s">
        <v>501</v>
      </c>
      <c r="H236" s="61" t="s">
        <v>441</v>
      </c>
      <c r="I236" s="61" t="s">
        <v>442</v>
      </c>
      <c r="J236" s="61" t="s">
        <v>443</v>
      </c>
      <c r="K236" s="61" t="s">
        <v>443</v>
      </c>
      <c r="L236" s="64">
        <v>0</v>
      </c>
      <c r="M236" s="64">
        <v>0.5</v>
      </c>
      <c r="N236" s="64">
        <v>0.5</v>
      </c>
      <c r="O236" s="61" t="s">
        <v>444</v>
      </c>
      <c r="P236" s="64">
        <v>12</v>
      </c>
      <c r="Q236" s="65">
        <v>91.92</v>
      </c>
      <c r="R236" s="65">
        <v>24.44</v>
      </c>
      <c r="S236" s="65">
        <v>0</v>
      </c>
      <c r="T236" s="65">
        <v>0</v>
      </c>
      <c r="U236" s="65">
        <v>116.36</v>
      </c>
    </row>
    <row r="237" spans="1:21" s="61" customFormat="1" hidden="1" x14ac:dyDescent="0.25">
      <c r="A237" s="62">
        <v>685970</v>
      </c>
      <c r="B237" s="61" t="s">
        <v>445</v>
      </c>
      <c r="C237" s="63">
        <v>40380</v>
      </c>
      <c r="D237" s="63">
        <v>40381</v>
      </c>
      <c r="E237" s="61" t="s">
        <v>446</v>
      </c>
      <c r="F237" s="61" t="s">
        <v>452</v>
      </c>
      <c r="G237" s="61" t="s">
        <v>501</v>
      </c>
      <c r="H237" s="61" t="s">
        <v>441</v>
      </c>
      <c r="I237" s="61" t="s">
        <v>442</v>
      </c>
      <c r="J237" s="61" t="s">
        <v>443</v>
      </c>
      <c r="K237" s="61" t="s">
        <v>443</v>
      </c>
      <c r="L237" s="64">
        <v>0</v>
      </c>
      <c r="M237" s="64">
        <v>0</v>
      </c>
      <c r="N237" s="64">
        <v>0</v>
      </c>
      <c r="O237" s="61" t="s">
        <v>444</v>
      </c>
      <c r="P237" s="64">
        <v>0</v>
      </c>
      <c r="Q237" s="65">
        <v>89.42</v>
      </c>
      <c r="R237" s="65">
        <v>24.44</v>
      </c>
      <c r="S237" s="65">
        <v>0</v>
      </c>
      <c r="T237" s="65">
        <v>0</v>
      </c>
      <c r="U237" s="65">
        <v>113.86</v>
      </c>
    </row>
    <row r="238" spans="1:21" s="61" customFormat="1" hidden="1" x14ac:dyDescent="0.25">
      <c r="A238" s="62">
        <v>685965</v>
      </c>
      <c r="B238" s="61" t="s">
        <v>445</v>
      </c>
      <c r="C238" s="63">
        <v>40380</v>
      </c>
      <c r="D238" s="63">
        <v>40381</v>
      </c>
      <c r="E238" s="61" t="s">
        <v>446</v>
      </c>
      <c r="F238" s="61" t="s">
        <v>452</v>
      </c>
      <c r="G238" s="61" t="s">
        <v>501</v>
      </c>
      <c r="H238" s="61" t="s">
        <v>441</v>
      </c>
      <c r="I238" s="61" t="s">
        <v>442</v>
      </c>
      <c r="J238" s="61" t="s">
        <v>443</v>
      </c>
      <c r="K238" s="61" t="s">
        <v>443</v>
      </c>
      <c r="L238" s="64">
        <v>0</v>
      </c>
      <c r="M238" s="64">
        <v>1.5</v>
      </c>
      <c r="N238" s="64">
        <v>1.5</v>
      </c>
      <c r="O238" s="61" t="s">
        <v>444</v>
      </c>
      <c r="P238" s="64">
        <v>0</v>
      </c>
      <c r="Q238" s="65">
        <v>44.71</v>
      </c>
      <c r="R238" s="65">
        <v>12.22</v>
      </c>
      <c r="S238" s="65">
        <v>0</v>
      </c>
      <c r="T238" s="65">
        <v>0</v>
      </c>
      <c r="U238" s="65">
        <v>56.93</v>
      </c>
    </row>
    <row r="239" spans="1:21" s="61" customFormat="1" hidden="1" x14ac:dyDescent="0.25">
      <c r="A239" s="62">
        <v>685335</v>
      </c>
      <c r="B239" s="61" t="s">
        <v>445</v>
      </c>
      <c r="C239" s="63">
        <v>40379</v>
      </c>
      <c r="D239" s="63">
        <v>40380</v>
      </c>
      <c r="E239" s="61" t="s">
        <v>446</v>
      </c>
      <c r="F239" s="61" t="s">
        <v>447</v>
      </c>
      <c r="G239" s="61" t="s">
        <v>501</v>
      </c>
      <c r="H239" s="61" t="s">
        <v>441</v>
      </c>
      <c r="I239" s="61" t="s">
        <v>442</v>
      </c>
      <c r="J239" s="61" t="s">
        <v>443</v>
      </c>
      <c r="K239" s="61" t="s">
        <v>443</v>
      </c>
      <c r="L239" s="64">
        <v>0</v>
      </c>
      <c r="M239" s="64">
        <v>2</v>
      </c>
      <c r="N239" s="64">
        <v>2</v>
      </c>
      <c r="O239" s="61" t="s">
        <v>444</v>
      </c>
      <c r="P239" s="64">
        <v>2</v>
      </c>
      <c r="Q239" s="65">
        <v>44.71</v>
      </c>
      <c r="R239" s="65">
        <v>12.22</v>
      </c>
      <c r="S239" s="65">
        <v>0</v>
      </c>
      <c r="T239" s="65">
        <v>0</v>
      </c>
      <c r="U239" s="65">
        <v>56.93</v>
      </c>
    </row>
    <row r="240" spans="1:21" s="61" customFormat="1" hidden="1" x14ac:dyDescent="0.25">
      <c r="A240" s="62">
        <v>683464</v>
      </c>
      <c r="B240" s="61" t="s">
        <v>445</v>
      </c>
      <c r="C240" s="63">
        <v>40373</v>
      </c>
      <c r="D240" s="63">
        <v>40374</v>
      </c>
      <c r="E240" s="61" t="s">
        <v>446</v>
      </c>
      <c r="F240" s="61" t="s">
        <v>452</v>
      </c>
      <c r="G240" s="61" t="s">
        <v>501</v>
      </c>
      <c r="H240" s="61" t="s">
        <v>441</v>
      </c>
      <c r="I240" s="61" t="s">
        <v>442</v>
      </c>
      <c r="J240" s="61" t="s">
        <v>443</v>
      </c>
      <c r="K240" s="61" t="s">
        <v>443</v>
      </c>
      <c r="L240" s="64">
        <v>0</v>
      </c>
      <c r="M240" s="64">
        <v>10</v>
      </c>
      <c r="N240" s="64">
        <v>10</v>
      </c>
      <c r="O240" s="61" t="s">
        <v>444</v>
      </c>
      <c r="P240" s="64">
        <v>7.25</v>
      </c>
      <c r="Q240" s="65">
        <v>178.84</v>
      </c>
      <c r="R240" s="65">
        <v>48.88</v>
      </c>
      <c r="S240" s="65">
        <v>0</v>
      </c>
      <c r="T240" s="65">
        <v>0</v>
      </c>
      <c r="U240" s="65">
        <v>227.72</v>
      </c>
    </row>
    <row r="241" spans="1:21" s="61" customFormat="1" hidden="1" x14ac:dyDescent="0.25">
      <c r="A241" s="62">
        <v>680305</v>
      </c>
      <c r="B241" s="61" t="s">
        <v>445</v>
      </c>
      <c r="C241" s="63">
        <v>40360</v>
      </c>
      <c r="D241" s="63">
        <v>40361</v>
      </c>
      <c r="E241" s="61" t="s">
        <v>446</v>
      </c>
      <c r="F241" s="61" t="s">
        <v>447</v>
      </c>
      <c r="G241" s="61" t="s">
        <v>501</v>
      </c>
      <c r="H241" s="61" t="s">
        <v>441</v>
      </c>
      <c r="I241" s="61" t="s">
        <v>442</v>
      </c>
      <c r="J241" s="61" t="s">
        <v>443</v>
      </c>
      <c r="K241" s="61" t="s">
        <v>443</v>
      </c>
      <c r="L241" s="64">
        <v>0</v>
      </c>
      <c r="M241" s="64">
        <v>0</v>
      </c>
      <c r="N241" s="64">
        <v>0</v>
      </c>
      <c r="O241" s="61" t="s">
        <v>444</v>
      </c>
      <c r="P241" s="64">
        <v>2</v>
      </c>
      <c r="Q241" s="65">
        <v>178.84</v>
      </c>
      <c r="R241" s="65">
        <v>48.88</v>
      </c>
      <c r="S241" s="65">
        <v>0</v>
      </c>
      <c r="T241" s="65">
        <v>0</v>
      </c>
      <c r="U241" s="65">
        <v>227.72</v>
      </c>
    </row>
    <row r="242" spans="1:21" s="61" customFormat="1" hidden="1" x14ac:dyDescent="0.25">
      <c r="A242" s="62">
        <v>668866</v>
      </c>
      <c r="B242" s="61" t="s">
        <v>445</v>
      </c>
      <c r="C242" s="63">
        <v>40319</v>
      </c>
      <c r="D242" s="63">
        <v>40319.333333333336</v>
      </c>
      <c r="E242" s="61" t="s">
        <v>446</v>
      </c>
      <c r="F242" s="61" t="s">
        <v>452</v>
      </c>
      <c r="G242" s="61" t="s">
        <v>501</v>
      </c>
      <c r="H242" s="61" t="s">
        <v>441</v>
      </c>
      <c r="I242" s="61" t="s">
        <v>442</v>
      </c>
      <c r="J242" s="61" t="s">
        <v>443</v>
      </c>
      <c r="K242" s="61" t="s">
        <v>443</v>
      </c>
      <c r="L242" s="64">
        <v>0</v>
      </c>
      <c r="M242" s="64">
        <v>0</v>
      </c>
      <c r="N242" s="64">
        <v>28.173999999999999</v>
      </c>
      <c r="O242" s="61" t="s">
        <v>444</v>
      </c>
      <c r="P242" s="64">
        <v>13.32</v>
      </c>
      <c r="Q242" s="65">
        <v>65.17</v>
      </c>
      <c r="R242" s="65">
        <v>17.84</v>
      </c>
      <c r="S242" s="65">
        <v>0</v>
      </c>
      <c r="T242" s="65">
        <v>0</v>
      </c>
      <c r="U242" s="65">
        <v>83.02</v>
      </c>
    </row>
    <row r="243" spans="1:21" s="61" customFormat="1" hidden="1" x14ac:dyDescent="0.25">
      <c r="A243" s="62">
        <v>668866</v>
      </c>
      <c r="B243" s="61" t="s">
        <v>445</v>
      </c>
      <c r="C243" s="63">
        <v>40319</v>
      </c>
      <c r="D243" s="63">
        <v>40319.333333333336</v>
      </c>
      <c r="E243" s="61" t="s">
        <v>446</v>
      </c>
      <c r="F243" s="61" t="s">
        <v>452</v>
      </c>
      <c r="G243" s="61" t="s">
        <v>501</v>
      </c>
      <c r="H243" s="61" t="s">
        <v>441</v>
      </c>
      <c r="I243" s="61" t="s">
        <v>442</v>
      </c>
      <c r="J243" s="61" t="s">
        <v>443</v>
      </c>
      <c r="K243" s="61" t="s">
        <v>443</v>
      </c>
      <c r="L243" s="64">
        <v>0</v>
      </c>
      <c r="M243" s="64">
        <v>29.643999999999998</v>
      </c>
      <c r="N243" s="64">
        <v>38.479999999999997</v>
      </c>
      <c r="O243" s="61" t="s">
        <v>444</v>
      </c>
      <c r="P243" s="64">
        <v>4.2</v>
      </c>
      <c r="Q243" s="65">
        <v>20.53</v>
      </c>
      <c r="R243" s="65">
        <v>5.62</v>
      </c>
      <c r="S243" s="65">
        <v>0</v>
      </c>
      <c r="T243" s="65">
        <v>0</v>
      </c>
      <c r="U243" s="65">
        <v>26.16</v>
      </c>
    </row>
    <row r="244" spans="1:21" s="61" customFormat="1" hidden="1" x14ac:dyDescent="0.25">
      <c r="A244" s="62">
        <v>668424</v>
      </c>
      <c r="B244" s="61" t="s">
        <v>445</v>
      </c>
      <c r="C244" s="63">
        <v>40318</v>
      </c>
      <c r="D244" s="63">
        <v>40318.333333333336</v>
      </c>
      <c r="E244" s="61" t="s">
        <v>446</v>
      </c>
      <c r="F244" s="61" t="s">
        <v>452</v>
      </c>
      <c r="G244" s="61" t="s">
        <v>501</v>
      </c>
      <c r="H244" s="61" t="s">
        <v>441</v>
      </c>
      <c r="I244" s="61" t="s">
        <v>442</v>
      </c>
      <c r="J244" s="61" t="s">
        <v>443</v>
      </c>
      <c r="K244" s="61" t="s">
        <v>443</v>
      </c>
      <c r="L244" s="64">
        <v>0</v>
      </c>
      <c r="M244" s="64">
        <v>0</v>
      </c>
      <c r="N244" s="64">
        <v>28.173999999999999</v>
      </c>
      <c r="O244" s="61" t="s">
        <v>444</v>
      </c>
      <c r="P244" s="64">
        <v>23</v>
      </c>
      <c r="Q244" s="65">
        <v>162.94</v>
      </c>
      <c r="R244" s="65">
        <v>44.6</v>
      </c>
      <c r="S244" s="65">
        <v>0</v>
      </c>
      <c r="T244" s="65">
        <v>0</v>
      </c>
      <c r="U244" s="65">
        <v>207.54</v>
      </c>
    </row>
    <row r="245" spans="1:21" s="61" customFormat="1" hidden="1" x14ac:dyDescent="0.25">
      <c r="A245" s="62">
        <v>668424</v>
      </c>
      <c r="B245" s="61" t="s">
        <v>445</v>
      </c>
      <c r="C245" s="63">
        <v>40318</v>
      </c>
      <c r="D245" s="63">
        <v>40318.333333333336</v>
      </c>
      <c r="E245" s="61" t="s">
        <v>446</v>
      </c>
      <c r="F245" s="61" t="s">
        <v>452</v>
      </c>
      <c r="G245" s="61" t="s">
        <v>501</v>
      </c>
      <c r="H245" s="61" t="s">
        <v>441</v>
      </c>
      <c r="I245" s="61" t="s">
        <v>442</v>
      </c>
      <c r="J245" s="61" t="s">
        <v>443</v>
      </c>
      <c r="K245" s="61" t="s">
        <v>443</v>
      </c>
      <c r="L245" s="64">
        <v>0</v>
      </c>
      <c r="M245" s="64">
        <v>29.643999999999998</v>
      </c>
      <c r="N245" s="64">
        <v>38.479999999999997</v>
      </c>
      <c r="O245" s="61" t="s">
        <v>444</v>
      </c>
      <c r="P245" s="64">
        <v>7.25</v>
      </c>
      <c r="Q245" s="65">
        <v>51.34</v>
      </c>
      <c r="R245" s="65">
        <v>14.05</v>
      </c>
      <c r="S245" s="65">
        <v>0</v>
      </c>
      <c r="T245" s="65">
        <v>0</v>
      </c>
      <c r="U245" s="65">
        <v>65.39</v>
      </c>
    </row>
    <row r="246" spans="1:21" s="61" customFormat="1" hidden="1" x14ac:dyDescent="0.25">
      <c r="A246" s="62">
        <v>668072</v>
      </c>
      <c r="B246" s="61" t="s">
        <v>445</v>
      </c>
      <c r="C246" s="63">
        <v>40317</v>
      </c>
      <c r="D246" s="63">
        <v>40317.333333333336</v>
      </c>
      <c r="E246" s="61" t="s">
        <v>446</v>
      </c>
      <c r="F246" s="61" t="s">
        <v>452</v>
      </c>
      <c r="G246" s="61" t="s">
        <v>501</v>
      </c>
      <c r="H246" s="61" t="s">
        <v>441</v>
      </c>
      <c r="I246" s="61" t="s">
        <v>442</v>
      </c>
      <c r="J246" s="61" t="s">
        <v>443</v>
      </c>
      <c r="K246" s="61" t="s">
        <v>443</v>
      </c>
      <c r="L246" s="64">
        <v>0</v>
      </c>
      <c r="M246" s="64">
        <v>0</v>
      </c>
      <c r="N246" s="64">
        <v>28.173999999999999</v>
      </c>
      <c r="O246" s="61" t="s">
        <v>444</v>
      </c>
      <c r="P246" s="64">
        <v>17.16</v>
      </c>
      <c r="Q246" s="65">
        <v>130.35</v>
      </c>
      <c r="R246" s="65">
        <v>103.08</v>
      </c>
      <c r="S246" s="65">
        <v>0</v>
      </c>
      <c r="T246" s="65">
        <v>0</v>
      </c>
      <c r="U246" s="65">
        <v>233.42</v>
      </c>
    </row>
    <row r="247" spans="1:21" s="61" customFormat="1" hidden="1" x14ac:dyDescent="0.25">
      <c r="A247" s="62">
        <v>668072</v>
      </c>
      <c r="B247" s="61" t="s">
        <v>445</v>
      </c>
      <c r="C247" s="63">
        <v>40317</v>
      </c>
      <c r="D247" s="63">
        <v>40317.333333333336</v>
      </c>
      <c r="E247" s="61" t="s">
        <v>446</v>
      </c>
      <c r="F247" s="61" t="s">
        <v>452</v>
      </c>
      <c r="G247" s="61" t="s">
        <v>501</v>
      </c>
      <c r="H247" s="61" t="s">
        <v>441</v>
      </c>
      <c r="I247" s="61" t="s">
        <v>442</v>
      </c>
      <c r="J247" s="61" t="s">
        <v>443</v>
      </c>
      <c r="K247" s="61" t="s">
        <v>443</v>
      </c>
      <c r="L247" s="64">
        <v>0</v>
      </c>
      <c r="M247" s="64">
        <v>29.643999999999998</v>
      </c>
      <c r="N247" s="64">
        <v>38.479999999999997</v>
      </c>
      <c r="O247" s="61" t="s">
        <v>444</v>
      </c>
      <c r="P247" s="64">
        <v>5.41</v>
      </c>
      <c r="Q247" s="65">
        <v>41.07</v>
      </c>
      <c r="R247" s="65">
        <v>32.479999999999997</v>
      </c>
      <c r="S247" s="65">
        <v>0</v>
      </c>
      <c r="T247" s="65">
        <v>0</v>
      </c>
      <c r="U247" s="65">
        <v>73.540000000000006</v>
      </c>
    </row>
    <row r="248" spans="1:21" s="61" customFormat="1" hidden="1" x14ac:dyDescent="0.25">
      <c r="A248" s="62">
        <v>668071</v>
      </c>
      <c r="B248" s="61" t="s">
        <v>445</v>
      </c>
      <c r="C248" s="63">
        <v>40317</v>
      </c>
      <c r="D248" s="63">
        <v>40317.333333333336</v>
      </c>
      <c r="E248" s="61" t="s">
        <v>450</v>
      </c>
      <c r="F248" s="61" t="s">
        <v>452</v>
      </c>
      <c r="G248" s="61" t="s">
        <v>501</v>
      </c>
      <c r="H248" s="61" t="s">
        <v>441</v>
      </c>
      <c r="I248" s="61" t="s">
        <v>442</v>
      </c>
      <c r="J248" s="61" t="s">
        <v>443</v>
      </c>
      <c r="K248" s="61" t="s">
        <v>443</v>
      </c>
      <c r="L248" s="64">
        <v>0</v>
      </c>
      <c r="M248" s="64">
        <v>0</v>
      </c>
      <c r="N248" s="64">
        <v>28.173999999999999</v>
      </c>
      <c r="O248" s="61" t="s">
        <v>444</v>
      </c>
      <c r="P248" s="64">
        <v>46.72</v>
      </c>
      <c r="Q248" s="65">
        <v>391.05</v>
      </c>
      <c r="R248" s="65">
        <v>174.44</v>
      </c>
      <c r="S248" s="65">
        <v>0</v>
      </c>
      <c r="T248" s="65">
        <v>0</v>
      </c>
      <c r="U248" s="65">
        <v>565.49</v>
      </c>
    </row>
    <row r="249" spans="1:21" s="61" customFormat="1" hidden="1" x14ac:dyDescent="0.25">
      <c r="A249" s="62">
        <v>668071</v>
      </c>
      <c r="B249" s="61" t="s">
        <v>445</v>
      </c>
      <c r="C249" s="63">
        <v>40317</v>
      </c>
      <c r="D249" s="63">
        <v>40317.333333333336</v>
      </c>
      <c r="E249" s="61" t="s">
        <v>450</v>
      </c>
      <c r="F249" s="61" t="s">
        <v>452</v>
      </c>
      <c r="G249" s="61" t="s">
        <v>501</v>
      </c>
      <c r="H249" s="61" t="s">
        <v>441</v>
      </c>
      <c r="I249" s="61" t="s">
        <v>442</v>
      </c>
      <c r="J249" s="61" t="s">
        <v>443</v>
      </c>
      <c r="K249" s="61" t="s">
        <v>443</v>
      </c>
      <c r="L249" s="64">
        <v>0</v>
      </c>
      <c r="M249" s="64">
        <v>29.643999999999998</v>
      </c>
      <c r="N249" s="64">
        <v>38.479999999999997</v>
      </c>
      <c r="O249" s="61" t="s">
        <v>444</v>
      </c>
      <c r="P249" s="64">
        <v>14.72</v>
      </c>
      <c r="Q249" s="65">
        <v>123.21</v>
      </c>
      <c r="R249" s="65">
        <v>54.96</v>
      </c>
      <c r="S249" s="65">
        <v>0</v>
      </c>
      <c r="T249" s="65">
        <v>0</v>
      </c>
      <c r="U249" s="65">
        <v>178.17</v>
      </c>
    </row>
    <row r="250" spans="1:21" s="61" customFormat="1" hidden="1" x14ac:dyDescent="0.25">
      <c r="A250" s="62">
        <v>663318</v>
      </c>
      <c r="B250" s="61" t="s">
        <v>445</v>
      </c>
      <c r="C250" s="63">
        <v>40302</v>
      </c>
      <c r="D250" s="63">
        <v>40302.333333333336</v>
      </c>
      <c r="E250" s="61" t="s">
        <v>446</v>
      </c>
      <c r="F250" s="61" t="s">
        <v>452</v>
      </c>
      <c r="G250" s="61" t="s">
        <v>501</v>
      </c>
      <c r="H250" s="61" t="s">
        <v>441</v>
      </c>
      <c r="I250" s="61" t="s">
        <v>442</v>
      </c>
      <c r="J250" s="61" t="s">
        <v>443</v>
      </c>
      <c r="K250" s="61" t="s">
        <v>443</v>
      </c>
      <c r="L250" s="64">
        <v>0</v>
      </c>
      <c r="M250" s="64">
        <v>0</v>
      </c>
      <c r="N250" s="64">
        <v>28.173999999999999</v>
      </c>
      <c r="O250" s="61" t="s">
        <v>444</v>
      </c>
      <c r="P250" s="64">
        <v>26.28</v>
      </c>
      <c r="Q250" s="65">
        <v>264.2</v>
      </c>
      <c r="R250" s="65">
        <v>53.52</v>
      </c>
      <c r="S250" s="65">
        <v>0</v>
      </c>
      <c r="T250" s="65">
        <v>0</v>
      </c>
      <c r="U250" s="65">
        <v>317.73</v>
      </c>
    </row>
    <row r="251" spans="1:21" s="61" customFormat="1" hidden="1" x14ac:dyDescent="0.25">
      <c r="A251" s="62">
        <v>663318</v>
      </c>
      <c r="B251" s="61" t="s">
        <v>445</v>
      </c>
      <c r="C251" s="63">
        <v>40302</v>
      </c>
      <c r="D251" s="63">
        <v>40302.333333333336</v>
      </c>
      <c r="E251" s="61" t="s">
        <v>446</v>
      </c>
      <c r="F251" s="61" t="s">
        <v>452</v>
      </c>
      <c r="G251" s="61" t="s">
        <v>501</v>
      </c>
      <c r="H251" s="61" t="s">
        <v>441</v>
      </c>
      <c r="I251" s="61" t="s">
        <v>442</v>
      </c>
      <c r="J251" s="61" t="s">
        <v>443</v>
      </c>
      <c r="K251" s="61" t="s">
        <v>443</v>
      </c>
      <c r="L251" s="64">
        <v>0</v>
      </c>
      <c r="M251" s="64">
        <v>29.643999999999998</v>
      </c>
      <c r="N251" s="64">
        <v>38.479999999999997</v>
      </c>
      <c r="O251" s="61" t="s">
        <v>444</v>
      </c>
      <c r="P251" s="64">
        <v>8.2799999999999994</v>
      </c>
      <c r="Q251" s="65">
        <v>83.24</v>
      </c>
      <c r="R251" s="65">
        <v>16.86</v>
      </c>
      <c r="S251" s="65">
        <v>0</v>
      </c>
      <c r="T251" s="65">
        <v>0</v>
      </c>
      <c r="U251" s="65">
        <v>100.11</v>
      </c>
    </row>
    <row r="252" spans="1:21" s="61" customFormat="1" hidden="1" x14ac:dyDescent="0.25">
      <c r="A252" s="62">
        <v>660376</v>
      </c>
      <c r="B252" s="61" t="s">
        <v>445</v>
      </c>
      <c r="C252" s="63">
        <v>40290</v>
      </c>
      <c r="D252" s="63">
        <v>40290.333333333336</v>
      </c>
      <c r="E252" s="61" t="s">
        <v>446</v>
      </c>
      <c r="F252" s="61" t="s">
        <v>452</v>
      </c>
      <c r="G252" s="61" t="s">
        <v>501</v>
      </c>
      <c r="H252" s="61" t="s">
        <v>441</v>
      </c>
      <c r="I252" s="61" t="s">
        <v>442</v>
      </c>
      <c r="J252" s="61" t="s">
        <v>443</v>
      </c>
      <c r="K252" s="61" t="s">
        <v>443</v>
      </c>
      <c r="L252" s="64">
        <v>0</v>
      </c>
      <c r="M252" s="64">
        <v>0</v>
      </c>
      <c r="N252" s="64">
        <v>28.173999999999999</v>
      </c>
      <c r="O252" s="61" t="s">
        <v>444</v>
      </c>
      <c r="P252" s="64">
        <v>11.13</v>
      </c>
      <c r="Q252" s="65">
        <v>65.17</v>
      </c>
      <c r="R252" s="65">
        <v>17.84</v>
      </c>
      <c r="S252" s="65">
        <v>0</v>
      </c>
      <c r="T252" s="65">
        <v>0</v>
      </c>
      <c r="U252" s="65">
        <v>83.02</v>
      </c>
    </row>
    <row r="253" spans="1:21" s="61" customFormat="1" hidden="1" x14ac:dyDescent="0.25">
      <c r="A253" s="62">
        <v>660376</v>
      </c>
      <c r="B253" s="61" t="s">
        <v>445</v>
      </c>
      <c r="C253" s="63">
        <v>40290</v>
      </c>
      <c r="D253" s="63">
        <v>40290.333333333336</v>
      </c>
      <c r="E253" s="61" t="s">
        <v>446</v>
      </c>
      <c r="F253" s="61" t="s">
        <v>452</v>
      </c>
      <c r="G253" s="61" t="s">
        <v>501</v>
      </c>
      <c r="H253" s="61" t="s">
        <v>441</v>
      </c>
      <c r="I253" s="61" t="s">
        <v>442</v>
      </c>
      <c r="J253" s="61" t="s">
        <v>443</v>
      </c>
      <c r="K253" s="61" t="s">
        <v>443</v>
      </c>
      <c r="L253" s="64">
        <v>0</v>
      </c>
      <c r="M253" s="64">
        <v>29.643999999999998</v>
      </c>
      <c r="N253" s="64">
        <v>38.479999999999997</v>
      </c>
      <c r="O253" s="61" t="s">
        <v>444</v>
      </c>
      <c r="P253" s="64">
        <v>3.51</v>
      </c>
      <c r="Q253" s="65">
        <v>20.53</v>
      </c>
      <c r="R253" s="65">
        <v>5.62</v>
      </c>
      <c r="S253" s="65">
        <v>0</v>
      </c>
      <c r="T253" s="65">
        <v>0</v>
      </c>
      <c r="U253" s="65">
        <v>26.16</v>
      </c>
    </row>
    <row r="254" spans="1:21" s="61" customFormat="1" hidden="1" x14ac:dyDescent="0.25">
      <c r="A254" s="62">
        <v>657994</v>
      </c>
      <c r="B254" s="61" t="s">
        <v>472</v>
      </c>
      <c r="C254" s="63">
        <v>40283</v>
      </c>
      <c r="D254" s="63">
        <v>40359.333333333336</v>
      </c>
      <c r="E254" s="61" t="s">
        <v>500</v>
      </c>
      <c r="F254" s="61" t="s">
        <v>490</v>
      </c>
      <c r="G254" s="61" t="s">
        <v>501</v>
      </c>
      <c r="H254" s="61" t="s">
        <v>441</v>
      </c>
      <c r="I254" s="61" t="s">
        <v>442</v>
      </c>
      <c r="J254" s="61" t="s">
        <v>443</v>
      </c>
      <c r="K254" s="61" t="s">
        <v>443</v>
      </c>
      <c r="L254" s="64">
        <v>0</v>
      </c>
      <c r="M254" s="64">
        <v>0</v>
      </c>
      <c r="N254" s="64">
        <v>28.173999999999999</v>
      </c>
      <c r="O254" s="61" t="s">
        <v>444</v>
      </c>
      <c r="P254" s="64">
        <v>36660.6</v>
      </c>
      <c r="Q254" s="65">
        <v>292.35000000000002</v>
      </c>
      <c r="R254" s="65">
        <v>128.47999999999999</v>
      </c>
      <c r="S254" s="65">
        <v>224.59</v>
      </c>
      <c r="T254" s="65">
        <v>0</v>
      </c>
      <c r="U254" s="65">
        <v>645.41999999999996</v>
      </c>
    </row>
    <row r="255" spans="1:21" s="61" customFormat="1" hidden="1" x14ac:dyDescent="0.25">
      <c r="A255" s="62">
        <v>657994</v>
      </c>
      <c r="B255" s="61" t="s">
        <v>472</v>
      </c>
      <c r="C255" s="63">
        <v>40283</v>
      </c>
      <c r="D255" s="63">
        <v>40359.333333333336</v>
      </c>
      <c r="E255" s="61" t="s">
        <v>500</v>
      </c>
      <c r="F255" s="61" t="s">
        <v>490</v>
      </c>
      <c r="G255" s="61" t="s">
        <v>501</v>
      </c>
      <c r="H255" s="61" t="s">
        <v>441</v>
      </c>
      <c r="I255" s="61" t="s">
        <v>442</v>
      </c>
      <c r="J255" s="61" t="s">
        <v>443</v>
      </c>
      <c r="K255" s="61" t="s">
        <v>443</v>
      </c>
      <c r="L255" s="64">
        <v>0</v>
      </c>
      <c r="M255" s="64">
        <v>29.643999999999998</v>
      </c>
      <c r="N255" s="64">
        <v>38.479999999999997</v>
      </c>
      <c r="O255" s="61" t="s">
        <v>444</v>
      </c>
      <c r="P255" s="64">
        <v>11550.6</v>
      </c>
      <c r="Q255" s="65">
        <v>92.11</v>
      </c>
      <c r="R255" s="65">
        <v>40.479999999999997</v>
      </c>
      <c r="S255" s="65">
        <v>70.760000000000005</v>
      </c>
      <c r="T255" s="65">
        <v>0</v>
      </c>
      <c r="U255" s="65">
        <v>203.35</v>
      </c>
    </row>
    <row r="256" spans="1:21" s="61" customFormat="1" hidden="1" x14ac:dyDescent="0.25">
      <c r="A256" s="62">
        <v>657831</v>
      </c>
      <c r="B256" s="61" t="s">
        <v>445</v>
      </c>
      <c r="C256" s="63">
        <v>40282</v>
      </c>
      <c r="D256" s="63">
        <v>40282.333333333336</v>
      </c>
      <c r="E256" s="61" t="s">
        <v>446</v>
      </c>
      <c r="F256" s="61" t="s">
        <v>452</v>
      </c>
      <c r="G256" s="61" t="s">
        <v>501</v>
      </c>
      <c r="H256" s="61" t="s">
        <v>441</v>
      </c>
      <c r="I256" s="61" t="s">
        <v>442</v>
      </c>
      <c r="J256" s="61" t="s">
        <v>443</v>
      </c>
      <c r="K256" s="61" t="s">
        <v>443</v>
      </c>
      <c r="L256" s="64">
        <v>0</v>
      </c>
      <c r="M256" s="64">
        <v>0</v>
      </c>
      <c r="N256" s="64">
        <v>28.173999999999999</v>
      </c>
      <c r="O256" s="61" t="s">
        <v>444</v>
      </c>
      <c r="P256" s="64">
        <v>11.86</v>
      </c>
      <c r="Q256" s="65">
        <v>88.07</v>
      </c>
      <c r="R256" s="65">
        <v>17.84</v>
      </c>
      <c r="S256" s="65">
        <v>0</v>
      </c>
      <c r="T256" s="65">
        <v>0</v>
      </c>
      <c r="U256" s="65">
        <v>105.91</v>
      </c>
    </row>
    <row r="257" spans="1:21" s="61" customFormat="1" hidden="1" x14ac:dyDescent="0.25">
      <c r="A257" s="62">
        <v>657831</v>
      </c>
      <c r="B257" s="61" t="s">
        <v>445</v>
      </c>
      <c r="C257" s="63">
        <v>40282</v>
      </c>
      <c r="D257" s="63">
        <v>40282.333333333336</v>
      </c>
      <c r="E257" s="61" t="s">
        <v>446</v>
      </c>
      <c r="F257" s="61" t="s">
        <v>452</v>
      </c>
      <c r="G257" s="61" t="s">
        <v>501</v>
      </c>
      <c r="H257" s="61" t="s">
        <v>441</v>
      </c>
      <c r="I257" s="61" t="s">
        <v>442</v>
      </c>
      <c r="J257" s="61" t="s">
        <v>443</v>
      </c>
      <c r="K257" s="61" t="s">
        <v>443</v>
      </c>
      <c r="L257" s="64">
        <v>0</v>
      </c>
      <c r="M257" s="64">
        <v>29.643999999999998</v>
      </c>
      <c r="N257" s="64">
        <v>38.479999999999997</v>
      </c>
      <c r="O257" s="61" t="s">
        <v>444</v>
      </c>
      <c r="P257" s="64">
        <v>3.74</v>
      </c>
      <c r="Q257" s="65">
        <v>27.75</v>
      </c>
      <c r="R257" s="65">
        <v>5.62</v>
      </c>
      <c r="S257" s="65">
        <v>0</v>
      </c>
      <c r="T257" s="65">
        <v>0</v>
      </c>
      <c r="U257" s="65">
        <v>33.369999999999997</v>
      </c>
    </row>
    <row r="258" spans="1:21" s="61" customFormat="1" hidden="1" x14ac:dyDescent="0.25">
      <c r="A258" s="62">
        <v>654516</v>
      </c>
      <c r="B258" s="61" t="s">
        <v>445</v>
      </c>
      <c r="C258" s="63">
        <v>40274</v>
      </c>
      <c r="D258" s="63">
        <v>40274.333333333336</v>
      </c>
      <c r="E258" s="61" t="s">
        <v>446</v>
      </c>
      <c r="F258" s="61" t="s">
        <v>452</v>
      </c>
      <c r="G258" s="61" t="s">
        <v>501</v>
      </c>
      <c r="H258" s="61" t="s">
        <v>441</v>
      </c>
      <c r="I258" s="61" t="s">
        <v>442</v>
      </c>
      <c r="J258" s="61" t="s">
        <v>443</v>
      </c>
      <c r="K258" s="61" t="s">
        <v>443</v>
      </c>
      <c r="L258" s="64">
        <v>0</v>
      </c>
      <c r="M258" s="64">
        <v>0</v>
      </c>
      <c r="N258" s="64">
        <v>28.173999999999999</v>
      </c>
      <c r="O258" s="61" t="s">
        <v>444</v>
      </c>
      <c r="P258" s="64">
        <v>17.52</v>
      </c>
      <c r="Q258" s="65">
        <v>352.27</v>
      </c>
      <c r="R258" s="65">
        <v>71.36</v>
      </c>
      <c r="S258" s="65">
        <v>0</v>
      </c>
      <c r="T258" s="65">
        <v>0</v>
      </c>
      <c r="U258" s="65">
        <v>423.63</v>
      </c>
    </row>
    <row r="259" spans="1:21" s="61" customFormat="1" hidden="1" x14ac:dyDescent="0.25">
      <c r="A259" s="62">
        <v>654516</v>
      </c>
      <c r="B259" s="61" t="s">
        <v>445</v>
      </c>
      <c r="C259" s="63">
        <v>40274</v>
      </c>
      <c r="D259" s="63">
        <v>40274.333333333336</v>
      </c>
      <c r="E259" s="61" t="s">
        <v>446</v>
      </c>
      <c r="F259" s="61" t="s">
        <v>452</v>
      </c>
      <c r="G259" s="61" t="s">
        <v>501</v>
      </c>
      <c r="H259" s="61" t="s">
        <v>441</v>
      </c>
      <c r="I259" s="61" t="s">
        <v>442</v>
      </c>
      <c r="J259" s="61" t="s">
        <v>443</v>
      </c>
      <c r="K259" s="61" t="s">
        <v>443</v>
      </c>
      <c r="L259" s="64">
        <v>0</v>
      </c>
      <c r="M259" s="64">
        <v>29.643999999999998</v>
      </c>
      <c r="N259" s="64">
        <v>38.479999999999997</v>
      </c>
      <c r="O259" s="61" t="s">
        <v>444</v>
      </c>
      <c r="P259" s="64">
        <v>5.52</v>
      </c>
      <c r="Q259" s="65">
        <v>110.99</v>
      </c>
      <c r="R259" s="65">
        <v>22.48</v>
      </c>
      <c r="S259" s="65">
        <v>0</v>
      </c>
      <c r="T259" s="65">
        <v>0</v>
      </c>
      <c r="U259" s="65">
        <v>133.47</v>
      </c>
    </row>
    <row r="260" spans="1:21" s="61" customFormat="1" hidden="1" x14ac:dyDescent="0.25">
      <c r="A260" s="62">
        <v>651807</v>
      </c>
      <c r="B260" s="61" t="s">
        <v>445</v>
      </c>
      <c r="C260" s="63">
        <v>40263</v>
      </c>
      <c r="D260" s="63">
        <v>40263.333333333336</v>
      </c>
      <c r="E260" s="61" t="s">
        <v>446</v>
      </c>
      <c r="F260" s="61" t="s">
        <v>452</v>
      </c>
      <c r="G260" s="61" t="s">
        <v>501</v>
      </c>
      <c r="H260" s="61" t="s">
        <v>441</v>
      </c>
      <c r="I260" s="61" t="s">
        <v>442</v>
      </c>
      <c r="J260" s="61" t="s">
        <v>443</v>
      </c>
      <c r="K260" s="61" t="s">
        <v>443</v>
      </c>
      <c r="L260" s="64">
        <v>0</v>
      </c>
      <c r="M260" s="64">
        <v>0</v>
      </c>
      <c r="N260" s="64">
        <v>28.173999999999999</v>
      </c>
      <c r="O260" s="61" t="s">
        <v>444</v>
      </c>
      <c r="P260" s="64">
        <v>8.76</v>
      </c>
      <c r="Q260" s="65">
        <v>88.07</v>
      </c>
      <c r="R260" s="65">
        <v>17.84</v>
      </c>
      <c r="S260" s="65">
        <v>0</v>
      </c>
      <c r="T260" s="65">
        <v>0</v>
      </c>
      <c r="U260" s="65">
        <v>105.91</v>
      </c>
    </row>
    <row r="261" spans="1:21" s="61" customFormat="1" hidden="1" x14ac:dyDescent="0.25">
      <c r="A261" s="62">
        <v>651807</v>
      </c>
      <c r="B261" s="61" t="s">
        <v>445</v>
      </c>
      <c r="C261" s="63">
        <v>40263</v>
      </c>
      <c r="D261" s="63">
        <v>40263.333333333336</v>
      </c>
      <c r="E261" s="61" t="s">
        <v>446</v>
      </c>
      <c r="F261" s="61" t="s">
        <v>452</v>
      </c>
      <c r="G261" s="61" t="s">
        <v>501</v>
      </c>
      <c r="H261" s="61" t="s">
        <v>441</v>
      </c>
      <c r="I261" s="61" t="s">
        <v>442</v>
      </c>
      <c r="J261" s="61" t="s">
        <v>443</v>
      </c>
      <c r="K261" s="61" t="s">
        <v>443</v>
      </c>
      <c r="L261" s="64">
        <v>0</v>
      </c>
      <c r="M261" s="64">
        <v>29.643999999999998</v>
      </c>
      <c r="N261" s="64">
        <v>38.479999999999997</v>
      </c>
      <c r="O261" s="61" t="s">
        <v>444</v>
      </c>
      <c r="P261" s="64">
        <v>2.76</v>
      </c>
      <c r="Q261" s="65">
        <v>27.75</v>
      </c>
      <c r="R261" s="65">
        <v>5.62</v>
      </c>
      <c r="S261" s="65">
        <v>0</v>
      </c>
      <c r="T261" s="65">
        <v>0</v>
      </c>
      <c r="U261" s="65">
        <v>33.369999999999997</v>
      </c>
    </row>
    <row r="262" spans="1:21" s="61" customFormat="1" hidden="1" x14ac:dyDescent="0.25">
      <c r="A262" s="62">
        <v>647992</v>
      </c>
      <c r="B262" s="61" t="s">
        <v>445</v>
      </c>
      <c r="C262" s="63">
        <v>40253</v>
      </c>
      <c r="D262" s="63">
        <v>40253.333333333336</v>
      </c>
      <c r="E262" s="61" t="s">
        <v>446</v>
      </c>
      <c r="F262" s="61" t="s">
        <v>447</v>
      </c>
      <c r="G262" s="61" t="s">
        <v>501</v>
      </c>
      <c r="H262" s="61" t="s">
        <v>441</v>
      </c>
      <c r="I262" s="61" t="s">
        <v>442</v>
      </c>
      <c r="J262" s="61" t="s">
        <v>443</v>
      </c>
      <c r="K262" s="61" t="s">
        <v>443</v>
      </c>
      <c r="L262" s="64">
        <v>0</v>
      </c>
      <c r="M262" s="64">
        <v>0</v>
      </c>
      <c r="N262" s="64">
        <v>28.173999999999999</v>
      </c>
      <c r="O262" s="61" t="s">
        <v>444</v>
      </c>
      <c r="P262" s="64">
        <v>1.46</v>
      </c>
      <c r="Q262" s="65">
        <v>44.03</v>
      </c>
      <c r="R262" s="65">
        <v>8.92</v>
      </c>
      <c r="S262" s="65">
        <v>0</v>
      </c>
      <c r="T262" s="65">
        <v>0</v>
      </c>
      <c r="U262" s="65">
        <v>52.95</v>
      </c>
    </row>
    <row r="263" spans="1:21" s="61" customFormat="1" hidden="1" x14ac:dyDescent="0.25">
      <c r="A263" s="62">
        <v>647992</v>
      </c>
      <c r="B263" s="61" t="s">
        <v>445</v>
      </c>
      <c r="C263" s="63">
        <v>40253</v>
      </c>
      <c r="D263" s="63">
        <v>40253.333333333336</v>
      </c>
      <c r="E263" s="61" t="s">
        <v>446</v>
      </c>
      <c r="F263" s="61" t="s">
        <v>447</v>
      </c>
      <c r="G263" s="61" t="s">
        <v>501</v>
      </c>
      <c r="H263" s="61" t="s">
        <v>441</v>
      </c>
      <c r="I263" s="61" t="s">
        <v>442</v>
      </c>
      <c r="J263" s="61" t="s">
        <v>443</v>
      </c>
      <c r="K263" s="61" t="s">
        <v>443</v>
      </c>
      <c r="L263" s="64">
        <v>0</v>
      </c>
      <c r="M263" s="64">
        <v>29.643999999999998</v>
      </c>
      <c r="N263" s="64">
        <v>38.479999999999997</v>
      </c>
      <c r="O263" s="61" t="s">
        <v>444</v>
      </c>
      <c r="P263" s="64">
        <v>0.46</v>
      </c>
      <c r="Q263" s="65">
        <v>13.87</v>
      </c>
      <c r="R263" s="65">
        <v>2.81</v>
      </c>
      <c r="S263" s="65">
        <v>0</v>
      </c>
      <c r="T263" s="65">
        <v>0</v>
      </c>
      <c r="U263" s="65">
        <v>16.68</v>
      </c>
    </row>
    <row r="264" spans="1:21" s="61" customFormat="1" hidden="1" x14ac:dyDescent="0.25">
      <c r="A264" s="62">
        <v>645499</v>
      </c>
      <c r="B264" s="61" t="s">
        <v>445</v>
      </c>
      <c r="C264" s="63">
        <v>40246</v>
      </c>
      <c r="D264" s="63">
        <v>40246.333333333336</v>
      </c>
      <c r="E264" s="61" t="s">
        <v>446</v>
      </c>
      <c r="F264" s="61" t="s">
        <v>452</v>
      </c>
      <c r="G264" s="61" t="s">
        <v>501</v>
      </c>
      <c r="H264" s="61" t="s">
        <v>441</v>
      </c>
      <c r="I264" s="61" t="s">
        <v>442</v>
      </c>
      <c r="J264" s="61" t="s">
        <v>443</v>
      </c>
      <c r="K264" s="61" t="s">
        <v>443</v>
      </c>
      <c r="L264" s="64">
        <v>0</v>
      </c>
      <c r="M264" s="64">
        <v>0</v>
      </c>
      <c r="N264" s="64">
        <v>28.173999999999999</v>
      </c>
      <c r="O264" s="61" t="s">
        <v>444</v>
      </c>
      <c r="P264" s="64">
        <v>3.65</v>
      </c>
      <c r="Q264" s="65">
        <v>44.03</v>
      </c>
      <c r="R264" s="65">
        <v>8.92</v>
      </c>
      <c r="S264" s="65">
        <v>0</v>
      </c>
      <c r="T264" s="65">
        <v>0</v>
      </c>
      <c r="U264" s="65">
        <v>52.95</v>
      </c>
    </row>
    <row r="265" spans="1:21" s="61" customFormat="1" hidden="1" x14ac:dyDescent="0.25">
      <c r="A265" s="62">
        <v>645499</v>
      </c>
      <c r="B265" s="61" t="s">
        <v>445</v>
      </c>
      <c r="C265" s="63">
        <v>40246</v>
      </c>
      <c r="D265" s="63">
        <v>40246.333333333336</v>
      </c>
      <c r="E265" s="61" t="s">
        <v>446</v>
      </c>
      <c r="F265" s="61" t="s">
        <v>452</v>
      </c>
      <c r="G265" s="61" t="s">
        <v>501</v>
      </c>
      <c r="H265" s="61" t="s">
        <v>441</v>
      </c>
      <c r="I265" s="61" t="s">
        <v>442</v>
      </c>
      <c r="J265" s="61" t="s">
        <v>443</v>
      </c>
      <c r="K265" s="61" t="s">
        <v>443</v>
      </c>
      <c r="L265" s="64">
        <v>0</v>
      </c>
      <c r="M265" s="64">
        <v>29.643999999999998</v>
      </c>
      <c r="N265" s="64">
        <v>38.479999999999997</v>
      </c>
      <c r="O265" s="61" t="s">
        <v>444</v>
      </c>
      <c r="P265" s="64">
        <v>1.1499999999999999</v>
      </c>
      <c r="Q265" s="65">
        <v>13.87</v>
      </c>
      <c r="R265" s="65">
        <v>2.81</v>
      </c>
      <c r="S265" s="65">
        <v>0</v>
      </c>
      <c r="T265" s="65">
        <v>0</v>
      </c>
      <c r="U265" s="65">
        <v>16.68</v>
      </c>
    </row>
    <row r="266" spans="1:21" s="61" customFormat="1" hidden="1" x14ac:dyDescent="0.25">
      <c r="A266" s="62">
        <v>645498</v>
      </c>
      <c r="B266" s="61" t="s">
        <v>445</v>
      </c>
      <c r="C266" s="63">
        <v>40246</v>
      </c>
      <c r="D266" s="63">
        <v>40246.333333333336</v>
      </c>
      <c r="E266" s="61" t="s">
        <v>446</v>
      </c>
      <c r="F266" s="61" t="s">
        <v>452</v>
      </c>
      <c r="G266" s="61" t="s">
        <v>501</v>
      </c>
      <c r="H266" s="61" t="s">
        <v>441</v>
      </c>
      <c r="I266" s="61" t="s">
        <v>442</v>
      </c>
      <c r="J266" s="61" t="s">
        <v>443</v>
      </c>
      <c r="K266" s="61" t="s">
        <v>443</v>
      </c>
      <c r="L266" s="64">
        <v>0</v>
      </c>
      <c r="M266" s="64">
        <v>0</v>
      </c>
      <c r="N266" s="64">
        <v>28.173999999999999</v>
      </c>
      <c r="O266" s="61" t="s">
        <v>444</v>
      </c>
      <c r="P266" s="64">
        <v>11.68</v>
      </c>
      <c r="Q266" s="65">
        <v>88.07</v>
      </c>
      <c r="R266" s="65">
        <v>17.84</v>
      </c>
      <c r="S266" s="65">
        <v>0</v>
      </c>
      <c r="T266" s="65">
        <v>0</v>
      </c>
      <c r="U266" s="65">
        <v>105.91</v>
      </c>
    </row>
    <row r="267" spans="1:21" s="61" customFormat="1" hidden="1" x14ac:dyDescent="0.25">
      <c r="A267" s="62">
        <v>645498</v>
      </c>
      <c r="B267" s="61" t="s">
        <v>445</v>
      </c>
      <c r="C267" s="63">
        <v>40246</v>
      </c>
      <c r="D267" s="63">
        <v>40246.333333333336</v>
      </c>
      <c r="E267" s="61" t="s">
        <v>446</v>
      </c>
      <c r="F267" s="61" t="s">
        <v>452</v>
      </c>
      <c r="G267" s="61" t="s">
        <v>501</v>
      </c>
      <c r="H267" s="61" t="s">
        <v>441</v>
      </c>
      <c r="I267" s="61" t="s">
        <v>442</v>
      </c>
      <c r="J267" s="61" t="s">
        <v>443</v>
      </c>
      <c r="K267" s="61" t="s">
        <v>443</v>
      </c>
      <c r="L267" s="64">
        <v>0</v>
      </c>
      <c r="M267" s="64">
        <v>29.643999999999998</v>
      </c>
      <c r="N267" s="64">
        <v>38.479999999999997</v>
      </c>
      <c r="O267" s="61" t="s">
        <v>444</v>
      </c>
      <c r="P267" s="64">
        <v>3.68</v>
      </c>
      <c r="Q267" s="65">
        <v>27.75</v>
      </c>
      <c r="R267" s="65">
        <v>5.62</v>
      </c>
      <c r="S267" s="65">
        <v>0</v>
      </c>
      <c r="T267" s="65">
        <v>0</v>
      </c>
      <c r="U267" s="65">
        <v>33.369999999999997</v>
      </c>
    </row>
    <row r="268" spans="1:21" s="61" customFormat="1" hidden="1" x14ac:dyDescent="0.25">
      <c r="A268" s="62">
        <v>642279</v>
      </c>
      <c r="B268" s="61" t="s">
        <v>445</v>
      </c>
      <c r="C268" s="63">
        <v>40233</v>
      </c>
      <c r="D268" s="63">
        <v>40233.333333333336</v>
      </c>
      <c r="E268" s="61" t="s">
        <v>446</v>
      </c>
      <c r="F268" s="61" t="s">
        <v>447</v>
      </c>
      <c r="G268" s="61" t="s">
        <v>501</v>
      </c>
      <c r="H268" s="61" t="s">
        <v>441</v>
      </c>
      <c r="I268" s="61" t="s">
        <v>442</v>
      </c>
      <c r="J268" s="61" t="s">
        <v>443</v>
      </c>
      <c r="K268" s="61" t="s">
        <v>443</v>
      </c>
      <c r="L268" s="64">
        <v>0</v>
      </c>
      <c r="M268" s="64">
        <v>0</v>
      </c>
      <c r="N268" s="64">
        <v>28.173999999999999</v>
      </c>
      <c r="O268" s="61" t="s">
        <v>444</v>
      </c>
      <c r="P268" s="64">
        <v>1.46</v>
      </c>
      <c r="Q268" s="65">
        <v>44.03</v>
      </c>
      <c r="R268" s="65">
        <v>17.84</v>
      </c>
      <c r="S268" s="65">
        <v>0</v>
      </c>
      <c r="T268" s="65">
        <v>0</v>
      </c>
      <c r="U268" s="65">
        <v>61.87</v>
      </c>
    </row>
    <row r="269" spans="1:21" s="61" customFormat="1" hidden="1" x14ac:dyDescent="0.25">
      <c r="A269" s="62">
        <v>642279</v>
      </c>
      <c r="B269" s="61" t="s">
        <v>445</v>
      </c>
      <c r="C269" s="63">
        <v>40233</v>
      </c>
      <c r="D269" s="63">
        <v>40233.333333333336</v>
      </c>
      <c r="E269" s="61" t="s">
        <v>446</v>
      </c>
      <c r="F269" s="61" t="s">
        <v>447</v>
      </c>
      <c r="G269" s="61" t="s">
        <v>501</v>
      </c>
      <c r="H269" s="61" t="s">
        <v>441</v>
      </c>
      <c r="I269" s="61" t="s">
        <v>442</v>
      </c>
      <c r="J269" s="61" t="s">
        <v>443</v>
      </c>
      <c r="K269" s="61" t="s">
        <v>443</v>
      </c>
      <c r="L269" s="64">
        <v>0</v>
      </c>
      <c r="M269" s="64">
        <v>29.643999999999998</v>
      </c>
      <c r="N269" s="64">
        <v>38.479999999999997</v>
      </c>
      <c r="O269" s="61" t="s">
        <v>444</v>
      </c>
      <c r="P269" s="64">
        <v>0.46</v>
      </c>
      <c r="Q269" s="65">
        <v>13.87</v>
      </c>
      <c r="R269" s="65">
        <v>5.62</v>
      </c>
      <c r="S269" s="65">
        <v>0</v>
      </c>
      <c r="T269" s="65">
        <v>0</v>
      </c>
      <c r="U269" s="65">
        <v>19.489999999999998</v>
      </c>
    </row>
    <row r="270" spans="1:21" s="61" customFormat="1" hidden="1" x14ac:dyDescent="0.25">
      <c r="A270" s="62">
        <v>634444</v>
      </c>
      <c r="B270" s="61" t="s">
        <v>437</v>
      </c>
      <c r="C270" s="63">
        <v>40204</v>
      </c>
      <c r="D270" s="63">
        <v>40204.333333333336</v>
      </c>
      <c r="E270" s="61" t="s">
        <v>450</v>
      </c>
      <c r="F270" s="61" t="s">
        <v>463</v>
      </c>
      <c r="G270" s="61" t="s">
        <v>501</v>
      </c>
      <c r="H270" s="61" t="s">
        <v>441</v>
      </c>
      <c r="I270" s="61" t="s">
        <v>442</v>
      </c>
      <c r="J270" s="61" t="s">
        <v>443</v>
      </c>
      <c r="K270" s="61" t="s">
        <v>443</v>
      </c>
      <c r="L270" s="64">
        <v>0</v>
      </c>
      <c r="M270" s="64">
        <v>0</v>
      </c>
      <c r="N270" s="64">
        <v>28.173999999999999</v>
      </c>
      <c r="O270" s="61" t="s">
        <v>444</v>
      </c>
      <c r="P270" s="64">
        <v>0</v>
      </c>
      <c r="Q270" s="65">
        <v>0</v>
      </c>
      <c r="R270" s="65">
        <v>0</v>
      </c>
      <c r="S270" s="65">
        <v>0</v>
      </c>
      <c r="T270" s="65">
        <v>0</v>
      </c>
      <c r="U270" s="65">
        <v>0</v>
      </c>
    </row>
    <row r="271" spans="1:21" s="61" customFormat="1" hidden="1" x14ac:dyDescent="0.25">
      <c r="A271" s="62">
        <v>634444</v>
      </c>
      <c r="B271" s="61" t="s">
        <v>437</v>
      </c>
      <c r="C271" s="63">
        <v>40204</v>
      </c>
      <c r="D271" s="63">
        <v>40204.333333333336</v>
      </c>
      <c r="E271" s="61" t="s">
        <v>450</v>
      </c>
      <c r="F271" s="61" t="s">
        <v>463</v>
      </c>
      <c r="G271" s="61" t="s">
        <v>501</v>
      </c>
      <c r="H271" s="61" t="s">
        <v>441</v>
      </c>
      <c r="I271" s="61" t="s">
        <v>442</v>
      </c>
      <c r="J271" s="61" t="s">
        <v>443</v>
      </c>
      <c r="K271" s="61" t="s">
        <v>443</v>
      </c>
      <c r="L271" s="64">
        <v>0</v>
      </c>
      <c r="M271" s="64">
        <v>29.643999999999998</v>
      </c>
      <c r="N271" s="64">
        <v>38.479999999999997</v>
      </c>
      <c r="O271" s="61" t="s">
        <v>444</v>
      </c>
      <c r="P271" s="64">
        <v>0</v>
      </c>
      <c r="Q271" s="65">
        <v>0</v>
      </c>
      <c r="R271" s="65">
        <v>0</v>
      </c>
      <c r="S271" s="65">
        <v>0</v>
      </c>
      <c r="T271" s="65">
        <v>0</v>
      </c>
      <c r="U271" s="65">
        <v>0</v>
      </c>
    </row>
    <row r="272" spans="1:21" s="61" customFormat="1" hidden="1" x14ac:dyDescent="0.25">
      <c r="A272" s="62">
        <v>634444</v>
      </c>
      <c r="B272" s="61" t="s">
        <v>437</v>
      </c>
      <c r="C272" s="63">
        <v>40204</v>
      </c>
      <c r="D272" s="63">
        <v>40204.333333333336</v>
      </c>
      <c r="E272" s="61" t="s">
        <v>450</v>
      </c>
      <c r="F272" s="61" t="s">
        <v>463</v>
      </c>
      <c r="G272" s="61" t="s">
        <v>502</v>
      </c>
      <c r="H272" s="61" t="s">
        <v>441</v>
      </c>
      <c r="I272" s="61" t="s">
        <v>454</v>
      </c>
      <c r="J272" s="61" t="s">
        <v>443</v>
      </c>
      <c r="K272" s="61" t="s">
        <v>443</v>
      </c>
      <c r="L272" s="64">
        <v>0</v>
      </c>
      <c r="M272" s="64">
        <v>0</v>
      </c>
      <c r="N272" s="64">
        <v>3.4409999999999998</v>
      </c>
      <c r="O272" s="61" t="s">
        <v>444</v>
      </c>
      <c r="P272" s="64">
        <v>0</v>
      </c>
      <c r="Q272" s="65">
        <v>0</v>
      </c>
      <c r="R272" s="65">
        <v>0</v>
      </c>
      <c r="S272" s="65">
        <v>0</v>
      </c>
      <c r="T272" s="65">
        <v>0</v>
      </c>
      <c r="U272" s="65">
        <v>0</v>
      </c>
    </row>
    <row r="273" spans="1:21" s="61" customFormat="1" hidden="1" x14ac:dyDescent="0.25">
      <c r="A273" s="62">
        <v>620192</v>
      </c>
      <c r="B273" s="61" t="s">
        <v>445</v>
      </c>
      <c r="C273" s="63">
        <v>40141</v>
      </c>
      <c r="D273" s="63">
        <v>40141.333333333336</v>
      </c>
      <c r="E273" s="61" t="s">
        <v>446</v>
      </c>
      <c r="F273" s="61" t="s">
        <v>452</v>
      </c>
      <c r="G273" s="61" t="s">
        <v>501</v>
      </c>
      <c r="H273" s="61" t="s">
        <v>441</v>
      </c>
      <c r="I273" s="61" t="s">
        <v>442</v>
      </c>
      <c r="J273" s="61" t="s">
        <v>443</v>
      </c>
      <c r="K273" s="61" t="s">
        <v>443</v>
      </c>
      <c r="L273" s="64">
        <v>0</v>
      </c>
      <c r="M273" s="64">
        <v>0</v>
      </c>
      <c r="N273" s="64">
        <v>28.173999999999999</v>
      </c>
      <c r="O273" s="61" t="s">
        <v>444</v>
      </c>
      <c r="P273" s="64">
        <v>11.68</v>
      </c>
      <c r="Q273" s="65">
        <v>88.8</v>
      </c>
      <c r="R273" s="65">
        <v>38.020000000000003</v>
      </c>
      <c r="S273" s="65">
        <v>0</v>
      </c>
      <c r="T273" s="65">
        <v>0</v>
      </c>
      <c r="U273" s="65">
        <v>126.82</v>
      </c>
    </row>
    <row r="274" spans="1:21" s="61" customFormat="1" hidden="1" x14ac:dyDescent="0.25">
      <c r="A274" s="62">
        <v>620192</v>
      </c>
      <c r="B274" s="61" t="s">
        <v>445</v>
      </c>
      <c r="C274" s="63">
        <v>40141</v>
      </c>
      <c r="D274" s="63">
        <v>40141.333333333336</v>
      </c>
      <c r="E274" s="61" t="s">
        <v>446</v>
      </c>
      <c r="F274" s="61" t="s">
        <v>452</v>
      </c>
      <c r="G274" s="61" t="s">
        <v>501</v>
      </c>
      <c r="H274" s="61" t="s">
        <v>441</v>
      </c>
      <c r="I274" s="61" t="s">
        <v>442</v>
      </c>
      <c r="J274" s="61" t="s">
        <v>443</v>
      </c>
      <c r="K274" s="61" t="s">
        <v>443</v>
      </c>
      <c r="L274" s="64">
        <v>0</v>
      </c>
      <c r="M274" s="64">
        <v>29.643999999999998</v>
      </c>
      <c r="N274" s="64">
        <v>38.479999999999997</v>
      </c>
      <c r="O274" s="61" t="s">
        <v>444</v>
      </c>
      <c r="P274" s="64">
        <v>3.68</v>
      </c>
      <c r="Q274" s="65">
        <v>27.98</v>
      </c>
      <c r="R274" s="65">
        <v>11.98</v>
      </c>
      <c r="S274" s="65">
        <v>0</v>
      </c>
      <c r="T274" s="65">
        <v>0</v>
      </c>
      <c r="U274" s="65">
        <v>39.96</v>
      </c>
    </row>
    <row r="275" spans="1:21" s="61" customFormat="1" hidden="1" x14ac:dyDescent="0.25">
      <c r="A275" s="62">
        <v>615885</v>
      </c>
      <c r="B275" s="61" t="s">
        <v>445</v>
      </c>
      <c r="C275" s="63">
        <v>40121</v>
      </c>
      <c r="D275" s="63">
        <v>40121.333333333336</v>
      </c>
      <c r="E275" s="61" t="s">
        <v>446</v>
      </c>
      <c r="F275" s="61" t="s">
        <v>476</v>
      </c>
      <c r="G275" s="61" t="s">
        <v>501</v>
      </c>
      <c r="H275" s="61" t="s">
        <v>441</v>
      </c>
      <c r="I275" s="61" t="s">
        <v>442</v>
      </c>
      <c r="J275" s="61" t="s">
        <v>443</v>
      </c>
      <c r="K275" s="61" t="s">
        <v>443</v>
      </c>
      <c r="L275" s="64">
        <v>0</v>
      </c>
      <c r="M275" s="64">
        <v>0</v>
      </c>
      <c r="N275" s="64">
        <v>28.173999999999999</v>
      </c>
      <c r="O275" s="61" t="s">
        <v>444</v>
      </c>
      <c r="P275" s="64">
        <v>2984.24</v>
      </c>
      <c r="Q275" s="65">
        <v>119.02</v>
      </c>
      <c r="R275" s="65">
        <v>63.04</v>
      </c>
      <c r="S275" s="65">
        <v>0</v>
      </c>
      <c r="T275" s="65">
        <v>0</v>
      </c>
      <c r="U275" s="65">
        <v>182.05</v>
      </c>
    </row>
    <row r="276" spans="1:21" s="61" customFormat="1" hidden="1" x14ac:dyDescent="0.25">
      <c r="A276" s="62">
        <v>615885</v>
      </c>
      <c r="B276" s="61" t="s">
        <v>445</v>
      </c>
      <c r="C276" s="63">
        <v>40121</v>
      </c>
      <c r="D276" s="63">
        <v>40121.333333333336</v>
      </c>
      <c r="E276" s="61" t="s">
        <v>446</v>
      </c>
      <c r="F276" s="61" t="s">
        <v>476</v>
      </c>
      <c r="G276" s="61" t="s">
        <v>501</v>
      </c>
      <c r="H276" s="61" t="s">
        <v>441</v>
      </c>
      <c r="I276" s="61" t="s">
        <v>442</v>
      </c>
      <c r="J276" s="61" t="s">
        <v>443</v>
      </c>
      <c r="K276" s="61" t="s">
        <v>443</v>
      </c>
      <c r="L276" s="64">
        <v>0</v>
      </c>
      <c r="M276" s="64">
        <v>29.643999999999998</v>
      </c>
      <c r="N276" s="64">
        <v>38.479999999999997</v>
      </c>
      <c r="O276" s="61" t="s">
        <v>444</v>
      </c>
      <c r="P276" s="64">
        <v>940.24</v>
      </c>
      <c r="Q276" s="65">
        <v>37.5</v>
      </c>
      <c r="R276" s="65">
        <v>19.86</v>
      </c>
      <c r="S276" s="65">
        <v>0</v>
      </c>
      <c r="T276" s="65">
        <v>0</v>
      </c>
      <c r="U276" s="65">
        <v>57.36</v>
      </c>
    </row>
    <row r="277" spans="1:21" s="61" customFormat="1" hidden="1" x14ac:dyDescent="0.25">
      <c r="A277" s="62">
        <v>611005</v>
      </c>
      <c r="B277" s="61" t="s">
        <v>437</v>
      </c>
      <c r="C277" s="63">
        <v>40105</v>
      </c>
      <c r="D277" s="63">
        <v>40178</v>
      </c>
      <c r="E277" s="61" t="s">
        <v>450</v>
      </c>
      <c r="F277" s="61" t="s">
        <v>504</v>
      </c>
      <c r="G277" s="61" t="s">
        <v>501</v>
      </c>
      <c r="H277" s="61" t="s">
        <v>441</v>
      </c>
      <c r="I277" s="61" t="s">
        <v>442</v>
      </c>
      <c r="J277" s="61" t="s">
        <v>443</v>
      </c>
      <c r="K277" s="61" t="s">
        <v>443</v>
      </c>
      <c r="L277" s="64">
        <v>0</v>
      </c>
      <c r="M277" s="64">
        <v>0</v>
      </c>
      <c r="N277" s="64">
        <v>28.173999999999999</v>
      </c>
      <c r="O277" s="61" t="s">
        <v>444</v>
      </c>
      <c r="P277" s="64">
        <v>3.29</v>
      </c>
      <c r="Q277" s="65">
        <v>4272.1499999999996</v>
      </c>
      <c r="R277" s="65">
        <v>874.95</v>
      </c>
      <c r="S277" s="65">
        <v>1286.49</v>
      </c>
      <c r="T277" s="65">
        <v>0</v>
      </c>
      <c r="U277" s="65">
        <v>6433.59</v>
      </c>
    </row>
    <row r="278" spans="1:21" s="61" customFormat="1" hidden="1" x14ac:dyDescent="0.25">
      <c r="A278" s="62">
        <v>611005</v>
      </c>
      <c r="B278" s="61" t="s">
        <v>437</v>
      </c>
      <c r="C278" s="63">
        <v>40105</v>
      </c>
      <c r="D278" s="63">
        <v>40178</v>
      </c>
      <c r="E278" s="61" t="s">
        <v>450</v>
      </c>
      <c r="F278" s="61" t="s">
        <v>504</v>
      </c>
      <c r="G278" s="61" t="s">
        <v>501</v>
      </c>
      <c r="H278" s="61" t="s">
        <v>441</v>
      </c>
      <c r="I278" s="61" t="s">
        <v>442</v>
      </c>
      <c r="J278" s="61" t="s">
        <v>443</v>
      </c>
      <c r="K278" s="61" t="s">
        <v>443</v>
      </c>
      <c r="L278" s="64">
        <v>0</v>
      </c>
      <c r="M278" s="64">
        <v>29.643999999999998</v>
      </c>
      <c r="N278" s="64">
        <v>38.479999999999997</v>
      </c>
      <c r="O278" s="61" t="s">
        <v>444</v>
      </c>
      <c r="P278" s="64">
        <v>1.04</v>
      </c>
      <c r="Q278" s="65">
        <v>1346.02</v>
      </c>
      <c r="R278" s="65">
        <v>275.67</v>
      </c>
      <c r="S278" s="65">
        <v>405.33</v>
      </c>
      <c r="T278" s="65">
        <v>0</v>
      </c>
      <c r="U278" s="65">
        <v>2027.02</v>
      </c>
    </row>
    <row r="279" spans="1:21" s="61" customFormat="1" hidden="1" x14ac:dyDescent="0.25">
      <c r="A279" s="62">
        <v>611004</v>
      </c>
      <c r="B279" s="61" t="s">
        <v>437</v>
      </c>
      <c r="C279" s="63">
        <v>40106</v>
      </c>
      <c r="D279" s="63">
        <v>40155.333333333336</v>
      </c>
      <c r="E279" s="61" t="s">
        <v>450</v>
      </c>
      <c r="F279" s="61" t="s">
        <v>505</v>
      </c>
      <c r="G279" s="61" t="s">
        <v>501</v>
      </c>
      <c r="H279" s="61" t="s">
        <v>441</v>
      </c>
      <c r="I279" s="61" t="s">
        <v>442</v>
      </c>
      <c r="J279" s="61" t="s">
        <v>443</v>
      </c>
      <c r="K279" s="61" t="s">
        <v>443</v>
      </c>
      <c r="L279" s="64">
        <v>0</v>
      </c>
      <c r="M279" s="64">
        <v>0</v>
      </c>
      <c r="N279" s="64">
        <v>28.173999999999999</v>
      </c>
      <c r="O279" s="61" t="s">
        <v>444</v>
      </c>
      <c r="P279" s="64">
        <v>3.47</v>
      </c>
      <c r="Q279" s="65">
        <v>6734.91</v>
      </c>
      <c r="R279" s="65">
        <v>2171.7199999999998</v>
      </c>
      <c r="S279" s="65">
        <v>0</v>
      </c>
      <c r="T279" s="65">
        <v>0</v>
      </c>
      <c r="U279" s="65">
        <v>8906.6299999999992</v>
      </c>
    </row>
    <row r="280" spans="1:21" s="61" customFormat="1" hidden="1" x14ac:dyDescent="0.25">
      <c r="A280" s="62">
        <v>611004</v>
      </c>
      <c r="B280" s="61" t="s">
        <v>437</v>
      </c>
      <c r="C280" s="63">
        <v>40106</v>
      </c>
      <c r="D280" s="63">
        <v>40155.333333333336</v>
      </c>
      <c r="E280" s="61" t="s">
        <v>450</v>
      </c>
      <c r="F280" s="61" t="s">
        <v>505</v>
      </c>
      <c r="G280" s="61" t="s">
        <v>501</v>
      </c>
      <c r="H280" s="61" t="s">
        <v>441</v>
      </c>
      <c r="I280" s="61" t="s">
        <v>442</v>
      </c>
      <c r="J280" s="61" t="s">
        <v>443</v>
      </c>
      <c r="K280" s="61" t="s">
        <v>443</v>
      </c>
      <c r="L280" s="64">
        <v>0</v>
      </c>
      <c r="M280" s="64">
        <v>29.643999999999998</v>
      </c>
      <c r="N280" s="64">
        <v>38.479999999999997</v>
      </c>
      <c r="O280" s="61" t="s">
        <v>444</v>
      </c>
      <c r="P280" s="64">
        <v>1.0900000000000001</v>
      </c>
      <c r="Q280" s="65">
        <v>2121.96</v>
      </c>
      <c r="R280" s="65">
        <v>684.24</v>
      </c>
      <c r="S280" s="65">
        <v>0</v>
      </c>
      <c r="T280" s="65">
        <v>0</v>
      </c>
      <c r="U280" s="65">
        <v>2806.2</v>
      </c>
    </row>
    <row r="281" spans="1:21" s="61" customFormat="1" hidden="1" x14ac:dyDescent="0.25">
      <c r="A281" s="62">
        <v>608413</v>
      </c>
      <c r="B281" s="61" t="s">
        <v>445</v>
      </c>
      <c r="C281" s="63">
        <v>40092</v>
      </c>
      <c r="D281" s="63">
        <v>40092.333333333336</v>
      </c>
      <c r="E281" s="61" t="s">
        <v>446</v>
      </c>
      <c r="F281" s="61" t="s">
        <v>452</v>
      </c>
      <c r="G281" s="61" t="s">
        <v>501</v>
      </c>
      <c r="H281" s="61" t="s">
        <v>441</v>
      </c>
      <c r="I281" s="61" t="s">
        <v>442</v>
      </c>
      <c r="J281" s="61" t="s">
        <v>443</v>
      </c>
      <c r="K281" s="61" t="s">
        <v>443</v>
      </c>
      <c r="L281" s="64">
        <v>0</v>
      </c>
      <c r="M281" s="64">
        <v>0.5</v>
      </c>
      <c r="N281" s="64">
        <v>0.5</v>
      </c>
      <c r="O281" s="61" t="s">
        <v>444</v>
      </c>
      <c r="P281" s="64">
        <v>3</v>
      </c>
      <c r="Q281" s="65">
        <v>63.64</v>
      </c>
      <c r="R281" s="65">
        <v>13.02</v>
      </c>
      <c r="S281" s="65">
        <v>0</v>
      </c>
      <c r="T281" s="65">
        <v>0</v>
      </c>
      <c r="U281" s="65">
        <v>76.66</v>
      </c>
    </row>
    <row r="282" spans="1:21" s="61" customFormat="1" hidden="1" x14ac:dyDescent="0.25">
      <c r="A282" s="62">
        <v>608089</v>
      </c>
      <c r="B282" s="61" t="s">
        <v>445</v>
      </c>
      <c r="C282" s="63">
        <v>40091</v>
      </c>
      <c r="D282" s="63">
        <v>40091.333333333336</v>
      </c>
      <c r="E282" s="61" t="s">
        <v>446</v>
      </c>
      <c r="F282" s="61" t="s">
        <v>452</v>
      </c>
      <c r="G282" s="61" t="s">
        <v>501</v>
      </c>
      <c r="H282" s="61" t="s">
        <v>441</v>
      </c>
      <c r="I282" s="61" t="s">
        <v>442</v>
      </c>
      <c r="J282" s="61" t="s">
        <v>443</v>
      </c>
      <c r="K282" s="61" t="s">
        <v>443</v>
      </c>
      <c r="L282" s="64">
        <v>0</v>
      </c>
      <c r="M282" s="64">
        <v>0.5</v>
      </c>
      <c r="N282" s="64">
        <v>0.5</v>
      </c>
      <c r="O282" s="61" t="s">
        <v>444</v>
      </c>
      <c r="P282" s="64">
        <v>12</v>
      </c>
      <c r="Q282" s="65">
        <v>127.28</v>
      </c>
      <c r="R282" s="65">
        <v>26.04</v>
      </c>
      <c r="S282" s="65">
        <v>0</v>
      </c>
      <c r="T282" s="65">
        <v>0</v>
      </c>
      <c r="U282" s="65">
        <v>153.32</v>
      </c>
    </row>
    <row r="283" spans="1:21" s="61" customFormat="1" hidden="1" x14ac:dyDescent="0.25">
      <c r="A283" s="62">
        <v>592371</v>
      </c>
      <c r="B283" s="61" t="s">
        <v>445</v>
      </c>
      <c r="C283" s="63">
        <v>40030</v>
      </c>
      <c r="D283" s="63">
        <v>40030.333333333336</v>
      </c>
      <c r="E283" s="61" t="s">
        <v>446</v>
      </c>
      <c r="F283" s="61" t="s">
        <v>452</v>
      </c>
      <c r="G283" s="61" t="s">
        <v>501</v>
      </c>
      <c r="H283" s="61" t="s">
        <v>441</v>
      </c>
      <c r="I283" s="61" t="s">
        <v>442</v>
      </c>
      <c r="J283" s="61" t="s">
        <v>443</v>
      </c>
      <c r="K283" s="61" t="s">
        <v>443</v>
      </c>
      <c r="L283" s="64">
        <v>0</v>
      </c>
      <c r="M283" s="64">
        <v>5</v>
      </c>
      <c r="N283" s="64">
        <v>5</v>
      </c>
      <c r="O283" s="61" t="s">
        <v>444</v>
      </c>
      <c r="P283" s="64">
        <v>17</v>
      </c>
      <c r="Q283" s="65">
        <v>190.92</v>
      </c>
      <c r="R283" s="65">
        <v>40.35</v>
      </c>
      <c r="S283" s="65">
        <v>0</v>
      </c>
      <c r="T283" s="65">
        <v>0</v>
      </c>
      <c r="U283" s="65">
        <v>231.27</v>
      </c>
    </row>
    <row r="284" spans="1:21" s="61" customFormat="1" hidden="1" x14ac:dyDescent="0.25">
      <c r="A284" s="62">
        <v>592340</v>
      </c>
      <c r="B284" s="61" t="s">
        <v>437</v>
      </c>
      <c r="C284" s="63">
        <v>40028</v>
      </c>
      <c r="D284" s="63">
        <v>40028.333333333336</v>
      </c>
      <c r="E284" s="61" t="s">
        <v>450</v>
      </c>
      <c r="F284" s="61" t="s">
        <v>478</v>
      </c>
      <c r="G284" s="61" t="s">
        <v>502</v>
      </c>
      <c r="H284" s="61" t="s">
        <v>441</v>
      </c>
      <c r="I284" s="61" t="s">
        <v>454</v>
      </c>
      <c r="J284" s="61" t="s">
        <v>443</v>
      </c>
      <c r="K284" s="61" t="s">
        <v>443</v>
      </c>
      <c r="L284" s="64">
        <v>0</v>
      </c>
      <c r="M284" s="64">
        <v>0.8</v>
      </c>
      <c r="N284" s="64">
        <v>0.8</v>
      </c>
      <c r="O284" s="61" t="s">
        <v>444</v>
      </c>
      <c r="P284" s="64">
        <v>30</v>
      </c>
      <c r="Q284" s="65">
        <v>718.48</v>
      </c>
      <c r="R284" s="65">
        <v>247.68</v>
      </c>
      <c r="S284" s="65">
        <v>0</v>
      </c>
      <c r="T284" s="65">
        <v>0</v>
      </c>
      <c r="U284" s="65">
        <v>966.16</v>
      </c>
    </row>
    <row r="285" spans="1:21" s="61" customFormat="1" hidden="1" x14ac:dyDescent="0.25">
      <c r="A285" s="62">
        <v>591135</v>
      </c>
      <c r="B285" s="61" t="s">
        <v>445</v>
      </c>
      <c r="C285" s="63">
        <v>40024</v>
      </c>
      <c r="D285" s="63">
        <v>40024.333333333336</v>
      </c>
      <c r="E285" s="61" t="s">
        <v>485</v>
      </c>
      <c r="F285" s="61" t="s">
        <v>452</v>
      </c>
      <c r="G285" s="61" t="s">
        <v>501</v>
      </c>
      <c r="H285" s="61" t="s">
        <v>457</v>
      </c>
      <c r="I285" s="61" t="s">
        <v>442</v>
      </c>
      <c r="J285" s="61" t="s">
        <v>443</v>
      </c>
      <c r="K285" s="61" t="s">
        <v>443</v>
      </c>
      <c r="L285" s="64">
        <v>0</v>
      </c>
      <c r="M285" s="64">
        <v>0</v>
      </c>
      <c r="N285" s="64">
        <v>28.173999999999999</v>
      </c>
      <c r="O285" s="61" t="s">
        <v>444</v>
      </c>
      <c r="P285" s="64">
        <v>4.5599999999999996</v>
      </c>
      <c r="Q285" s="65">
        <v>47.13</v>
      </c>
      <c r="R285" s="65">
        <v>19.010000000000002</v>
      </c>
      <c r="S285" s="65">
        <v>0</v>
      </c>
      <c r="T285" s="65">
        <v>0</v>
      </c>
      <c r="U285" s="65">
        <v>66.14</v>
      </c>
    </row>
    <row r="286" spans="1:21" s="61" customFormat="1" hidden="1" x14ac:dyDescent="0.25">
      <c r="A286" s="62">
        <v>591135</v>
      </c>
      <c r="B286" s="61" t="s">
        <v>445</v>
      </c>
      <c r="C286" s="63">
        <v>40024</v>
      </c>
      <c r="D286" s="63">
        <v>40024.333333333336</v>
      </c>
      <c r="E286" s="61" t="s">
        <v>485</v>
      </c>
      <c r="F286" s="61" t="s">
        <v>452</v>
      </c>
      <c r="G286" s="61" t="s">
        <v>501</v>
      </c>
      <c r="H286" s="61" t="s">
        <v>457</v>
      </c>
      <c r="I286" s="61" t="s">
        <v>442</v>
      </c>
      <c r="J286" s="61" t="s">
        <v>443</v>
      </c>
      <c r="K286" s="61" t="s">
        <v>443</v>
      </c>
      <c r="L286" s="64">
        <v>0</v>
      </c>
      <c r="M286" s="64">
        <v>29.643999999999998</v>
      </c>
      <c r="N286" s="64">
        <v>38.479999999999997</v>
      </c>
      <c r="O286" s="61" t="s">
        <v>444</v>
      </c>
      <c r="P286" s="64">
        <v>1.44</v>
      </c>
      <c r="Q286" s="65">
        <v>14.85</v>
      </c>
      <c r="R286" s="65">
        <v>5.99</v>
      </c>
      <c r="S286" s="65">
        <v>0</v>
      </c>
      <c r="T286" s="65">
        <v>0</v>
      </c>
      <c r="U286" s="65">
        <v>20.84</v>
      </c>
    </row>
    <row r="287" spans="1:21" s="61" customFormat="1" hidden="1" x14ac:dyDescent="0.25">
      <c r="A287" s="62">
        <v>583516</v>
      </c>
      <c r="B287" s="61" t="s">
        <v>472</v>
      </c>
      <c r="C287" s="63">
        <v>40014</v>
      </c>
      <c r="D287" s="63">
        <v>40675</v>
      </c>
      <c r="E287" s="61" t="s">
        <v>500</v>
      </c>
      <c r="F287" s="61" t="s">
        <v>506</v>
      </c>
      <c r="G287" s="61" t="s">
        <v>501</v>
      </c>
      <c r="H287" s="61" t="s">
        <v>441</v>
      </c>
      <c r="I287" s="61" t="s">
        <v>442</v>
      </c>
      <c r="J287" s="61" t="s">
        <v>443</v>
      </c>
      <c r="K287" s="61" t="s">
        <v>443</v>
      </c>
      <c r="L287" s="64">
        <v>0</v>
      </c>
      <c r="M287" s="64">
        <v>0</v>
      </c>
      <c r="N287" s="64">
        <v>28.173999999999999</v>
      </c>
      <c r="O287" s="61" t="s">
        <v>444</v>
      </c>
      <c r="P287" s="64">
        <v>6497</v>
      </c>
      <c r="Q287" s="65">
        <v>1800.5</v>
      </c>
      <c r="R287" s="65">
        <v>312.27999999999997</v>
      </c>
      <c r="S287" s="65">
        <v>5.19</v>
      </c>
      <c r="T287" s="65">
        <v>0</v>
      </c>
      <c r="U287" s="65">
        <v>2117.9699999999998</v>
      </c>
    </row>
    <row r="288" spans="1:21" s="61" customFormat="1" hidden="1" x14ac:dyDescent="0.25">
      <c r="A288" s="62">
        <v>583516</v>
      </c>
      <c r="B288" s="61" t="s">
        <v>472</v>
      </c>
      <c r="C288" s="63">
        <v>40014</v>
      </c>
      <c r="D288" s="63">
        <v>40675</v>
      </c>
      <c r="E288" s="61" t="s">
        <v>500</v>
      </c>
      <c r="F288" s="61" t="s">
        <v>506</v>
      </c>
      <c r="G288" s="61" t="s">
        <v>501</v>
      </c>
      <c r="H288" s="61" t="s">
        <v>441</v>
      </c>
      <c r="I288" s="61" t="s">
        <v>442</v>
      </c>
      <c r="J288" s="61" t="s">
        <v>443</v>
      </c>
      <c r="K288" s="61" t="s">
        <v>443</v>
      </c>
      <c r="L288" s="64">
        <v>0</v>
      </c>
      <c r="M288" s="64">
        <v>29.643999999999998</v>
      </c>
      <c r="N288" s="64">
        <v>38.479999999999997</v>
      </c>
      <c r="O288" s="61" t="s">
        <v>444</v>
      </c>
      <c r="P288" s="64">
        <v>2047</v>
      </c>
      <c r="Q288" s="65">
        <v>567.28</v>
      </c>
      <c r="R288" s="65">
        <v>98.39</v>
      </c>
      <c r="S288" s="65">
        <v>1.64</v>
      </c>
      <c r="T288" s="65">
        <v>0</v>
      </c>
      <c r="U288" s="65">
        <v>667.31</v>
      </c>
    </row>
    <row r="289" spans="1:21" s="61" customFormat="1" hidden="1" x14ac:dyDescent="0.25">
      <c r="A289" s="62">
        <v>582928</v>
      </c>
      <c r="B289" s="61" t="s">
        <v>472</v>
      </c>
      <c r="C289" s="63">
        <v>40094</v>
      </c>
      <c r="D289" s="63">
        <v>40094.333333333336</v>
      </c>
      <c r="E289" s="61" t="s">
        <v>500</v>
      </c>
      <c r="F289" s="61" t="s">
        <v>506</v>
      </c>
      <c r="G289" s="61" t="s">
        <v>501</v>
      </c>
      <c r="H289" s="61" t="s">
        <v>441</v>
      </c>
      <c r="I289" s="61" t="s">
        <v>442</v>
      </c>
      <c r="J289" s="61" t="s">
        <v>443</v>
      </c>
      <c r="K289" s="61" t="s">
        <v>443</v>
      </c>
      <c r="L289" s="64">
        <v>0</v>
      </c>
      <c r="M289" s="64">
        <v>0</v>
      </c>
      <c r="N289" s="64">
        <v>28.173999999999999</v>
      </c>
      <c r="O289" s="61" t="s">
        <v>444</v>
      </c>
      <c r="P289" s="64">
        <v>3533.2</v>
      </c>
      <c r="Q289" s="65">
        <v>467.78</v>
      </c>
      <c r="R289" s="65">
        <v>61.32</v>
      </c>
      <c r="S289" s="65">
        <v>0</v>
      </c>
      <c r="T289" s="65">
        <v>0</v>
      </c>
      <c r="U289" s="65">
        <v>529.1</v>
      </c>
    </row>
    <row r="290" spans="1:21" s="61" customFormat="1" hidden="1" x14ac:dyDescent="0.25">
      <c r="A290" s="62">
        <v>582928</v>
      </c>
      <c r="B290" s="61" t="s">
        <v>472</v>
      </c>
      <c r="C290" s="63">
        <v>40094</v>
      </c>
      <c r="D290" s="63">
        <v>40094.333333333336</v>
      </c>
      <c r="E290" s="61" t="s">
        <v>500</v>
      </c>
      <c r="F290" s="61" t="s">
        <v>506</v>
      </c>
      <c r="G290" s="61" t="s">
        <v>501</v>
      </c>
      <c r="H290" s="61" t="s">
        <v>441</v>
      </c>
      <c r="I290" s="61" t="s">
        <v>442</v>
      </c>
      <c r="J290" s="61" t="s">
        <v>443</v>
      </c>
      <c r="K290" s="61" t="s">
        <v>443</v>
      </c>
      <c r="L290" s="64">
        <v>0</v>
      </c>
      <c r="M290" s="64">
        <v>29.643999999999998</v>
      </c>
      <c r="N290" s="64">
        <v>38.479999999999997</v>
      </c>
      <c r="O290" s="61" t="s">
        <v>444</v>
      </c>
      <c r="P290" s="64">
        <v>1113.2</v>
      </c>
      <c r="Q290" s="65">
        <v>147.38</v>
      </c>
      <c r="R290" s="65">
        <v>19.32</v>
      </c>
      <c r="S290" s="65">
        <v>0</v>
      </c>
      <c r="T290" s="65">
        <v>0</v>
      </c>
      <c r="U290" s="65">
        <v>166.7</v>
      </c>
    </row>
    <row r="291" spans="1:21" s="61" customFormat="1" hidden="1" x14ac:dyDescent="0.25">
      <c r="A291" s="62">
        <v>575970</v>
      </c>
      <c r="B291" s="61" t="s">
        <v>445</v>
      </c>
      <c r="C291" s="63">
        <v>39967</v>
      </c>
      <c r="D291" s="63">
        <v>39967.333333333336</v>
      </c>
      <c r="E291" s="61" t="s">
        <v>446</v>
      </c>
      <c r="F291" s="61" t="s">
        <v>447</v>
      </c>
      <c r="G291" s="61" t="s">
        <v>501</v>
      </c>
      <c r="H291" s="61" t="s">
        <v>441</v>
      </c>
      <c r="I291" s="61" t="s">
        <v>442</v>
      </c>
      <c r="J291" s="61" t="s">
        <v>443</v>
      </c>
      <c r="K291" s="61" t="s">
        <v>443</v>
      </c>
      <c r="L291" s="64">
        <v>0</v>
      </c>
      <c r="M291" s="64">
        <v>6.5010000000000003</v>
      </c>
      <c r="N291" s="64">
        <v>9</v>
      </c>
      <c r="O291" s="61" t="s">
        <v>444</v>
      </c>
      <c r="P291" s="64">
        <v>2</v>
      </c>
      <c r="Q291" s="65">
        <v>129.12</v>
      </c>
      <c r="R291" s="65">
        <v>26.04</v>
      </c>
      <c r="S291" s="65">
        <v>0</v>
      </c>
      <c r="T291" s="65">
        <v>0</v>
      </c>
      <c r="U291" s="65">
        <v>155.16</v>
      </c>
    </row>
    <row r="292" spans="1:21" s="61" customFormat="1" hidden="1" x14ac:dyDescent="0.25">
      <c r="A292" s="62">
        <v>568598</v>
      </c>
      <c r="B292" s="61" t="s">
        <v>472</v>
      </c>
      <c r="C292" s="63">
        <v>39940</v>
      </c>
      <c r="D292" s="63">
        <v>39952.333333333336</v>
      </c>
      <c r="E292" s="61" t="s">
        <v>500</v>
      </c>
      <c r="F292" s="61" t="s">
        <v>490</v>
      </c>
      <c r="G292" s="61" t="s">
        <v>501</v>
      </c>
      <c r="H292" s="61" t="s">
        <v>441</v>
      </c>
      <c r="I292" s="61" t="s">
        <v>442</v>
      </c>
      <c r="J292" s="61" t="s">
        <v>443</v>
      </c>
      <c r="K292" s="61" t="s">
        <v>443</v>
      </c>
      <c r="L292" s="64">
        <v>0</v>
      </c>
      <c r="M292" s="64">
        <v>0</v>
      </c>
      <c r="N292" s="64">
        <v>28.173999999999999</v>
      </c>
      <c r="O292" s="61" t="s">
        <v>444</v>
      </c>
      <c r="P292" s="64">
        <v>143445</v>
      </c>
      <c r="Q292" s="65">
        <v>1529.5</v>
      </c>
      <c r="R292" s="65">
        <v>601.16</v>
      </c>
      <c r="S292" s="65">
        <v>731.23</v>
      </c>
      <c r="T292" s="65">
        <v>0</v>
      </c>
      <c r="U292" s="65">
        <v>2861.9</v>
      </c>
    </row>
    <row r="293" spans="1:21" s="61" customFormat="1" hidden="1" x14ac:dyDescent="0.25">
      <c r="A293" s="62">
        <v>568598</v>
      </c>
      <c r="B293" s="61" t="s">
        <v>472</v>
      </c>
      <c r="C293" s="63">
        <v>39940</v>
      </c>
      <c r="D293" s="63">
        <v>39952.333333333336</v>
      </c>
      <c r="E293" s="61" t="s">
        <v>500</v>
      </c>
      <c r="F293" s="61" t="s">
        <v>490</v>
      </c>
      <c r="G293" s="61" t="s">
        <v>501</v>
      </c>
      <c r="H293" s="61" t="s">
        <v>441</v>
      </c>
      <c r="I293" s="61" t="s">
        <v>442</v>
      </c>
      <c r="J293" s="61" t="s">
        <v>443</v>
      </c>
      <c r="K293" s="61" t="s">
        <v>443</v>
      </c>
      <c r="L293" s="64">
        <v>0</v>
      </c>
      <c r="M293" s="64">
        <v>29.643999999999998</v>
      </c>
      <c r="N293" s="64">
        <v>38.479999999999997</v>
      </c>
      <c r="O293" s="61" t="s">
        <v>444</v>
      </c>
      <c r="P293" s="64">
        <v>45195</v>
      </c>
      <c r="Q293" s="65">
        <v>481.9</v>
      </c>
      <c r="R293" s="65">
        <v>189.41</v>
      </c>
      <c r="S293" s="65">
        <v>230.39</v>
      </c>
      <c r="T293" s="65">
        <v>0</v>
      </c>
      <c r="U293" s="65">
        <v>901.69</v>
      </c>
    </row>
    <row r="294" spans="1:21" s="61" customFormat="1" hidden="1" x14ac:dyDescent="0.25">
      <c r="A294" s="62">
        <v>564353</v>
      </c>
      <c r="B294" s="61" t="s">
        <v>445</v>
      </c>
      <c r="C294" s="63">
        <v>39919</v>
      </c>
      <c r="D294" s="63">
        <v>39919.333333333336</v>
      </c>
      <c r="E294" s="61" t="s">
        <v>446</v>
      </c>
      <c r="F294" s="61" t="s">
        <v>452</v>
      </c>
      <c r="G294" s="61" t="s">
        <v>501</v>
      </c>
      <c r="H294" s="61" t="s">
        <v>441</v>
      </c>
      <c r="I294" s="61" t="s">
        <v>442</v>
      </c>
      <c r="J294" s="61" t="s">
        <v>443</v>
      </c>
      <c r="K294" s="61" t="s">
        <v>443</v>
      </c>
      <c r="L294" s="64">
        <v>0</v>
      </c>
      <c r="M294" s="64">
        <v>1.5</v>
      </c>
      <c r="N294" s="64">
        <v>1.5</v>
      </c>
      <c r="O294" s="61" t="s">
        <v>444</v>
      </c>
      <c r="P294" s="64">
        <v>4.5</v>
      </c>
      <c r="Q294" s="65">
        <v>64.56</v>
      </c>
      <c r="R294" s="65">
        <v>13.02</v>
      </c>
      <c r="S294" s="65">
        <v>0</v>
      </c>
      <c r="T294" s="65">
        <v>0</v>
      </c>
      <c r="U294" s="65">
        <v>77.58</v>
      </c>
    </row>
    <row r="295" spans="1:21" s="61" customFormat="1" hidden="1" x14ac:dyDescent="0.25">
      <c r="A295" s="62">
        <v>563297</v>
      </c>
      <c r="B295" s="61" t="s">
        <v>437</v>
      </c>
      <c r="C295" s="63">
        <v>39916</v>
      </c>
      <c r="D295" s="63">
        <v>39930</v>
      </c>
      <c r="E295" s="61" t="s">
        <v>450</v>
      </c>
      <c r="F295" s="61" t="s">
        <v>463</v>
      </c>
      <c r="G295" s="61" t="s">
        <v>501</v>
      </c>
      <c r="H295" s="61" t="s">
        <v>441</v>
      </c>
      <c r="I295" s="61" t="s">
        <v>442</v>
      </c>
      <c r="J295" s="61" t="s">
        <v>443</v>
      </c>
      <c r="K295" s="61" t="s">
        <v>443</v>
      </c>
      <c r="L295" s="64">
        <v>0</v>
      </c>
      <c r="M295" s="64">
        <v>33.966000000000001</v>
      </c>
      <c r="N295" s="64">
        <v>38.479999999999997</v>
      </c>
      <c r="O295" s="61" t="s">
        <v>444</v>
      </c>
      <c r="P295" s="64">
        <v>9</v>
      </c>
      <c r="Q295" s="65">
        <v>1403.58</v>
      </c>
      <c r="R295" s="65">
        <v>1974.4</v>
      </c>
      <c r="S295" s="65">
        <v>0</v>
      </c>
      <c r="T295" s="65">
        <v>0</v>
      </c>
      <c r="U295" s="65">
        <v>3377.98</v>
      </c>
    </row>
    <row r="296" spans="1:21" s="61" customFormat="1" hidden="1" x14ac:dyDescent="0.25">
      <c r="A296" s="62">
        <v>557704</v>
      </c>
      <c r="B296" s="61" t="s">
        <v>445</v>
      </c>
      <c r="C296" s="63">
        <v>39889</v>
      </c>
      <c r="D296" s="63">
        <v>39889.333333333336</v>
      </c>
      <c r="E296" s="61" t="s">
        <v>446</v>
      </c>
      <c r="F296" s="61" t="s">
        <v>452</v>
      </c>
      <c r="G296" s="61" t="s">
        <v>501</v>
      </c>
      <c r="H296" s="61" t="s">
        <v>441</v>
      </c>
      <c r="I296" s="61" t="s">
        <v>442</v>
      </c>
      <c r="J296" s="61" t="s">
        <v>443</v>
      </c>
      <c r="K296" s="61" t="s">
        <v>443</v>
      </c>
      <c r="L296" s="64">
        <v>0</v>
      </c>
      <c r="M296" s="64">
        <v>0</v>
      </c>
      <c r="N296" s="64">
        <v>28.173999999999999</v>
      </c>
      <c r="O296" s="61" t="s">
        <v>444</v>
      </c>
      <c r="P296" s="64">
        <v>37.6</v>
      </c>
      <c r="Q296" s="65">
        <v>377.03</v>
      </c>
      <c r="R296" s="65">
        <v>76.040000000000006</v>
      </c>
      <c r="S296" s="65">
        <v>0</v>
      </c>
      <c r="T296" s="65">
        <v>0</v>
      </c>
      <c r="U296" s="65">
        <v>453.07</v>
      </c>
    </row>
    <row r="297" spans="1:21" s="61" customFormat="1" hidden="1" x14ac:dyDescent="0.25">
      <c r="A297" s="62">
        <v>557704</v>
      </c>
      <c r="B297" s="61" t="s">
        <v>445</v>
      </c>
      <c r="C297" s="63">
        <v>39889</v>
      </c>
      <c r="D297" s="63">
        <v>39889.333333333336</v>
      </c>
      <c r="E297" s="61" t="s">
        <v>446</v>
      </c>
      <c r="F297" s="61" t="s">
        <v>452</v>
      </c>
      <c r="G297" s="61" t="s">
        <v>501</v>
      </c>
      <c r="H297" s="61" t="s">
        <v>441</v>
      </c>
      <c r="I297" s="61" t="s">
        <v>442</v>
      </c>
      <c r="J297" s="61" t="s">
        <v>443</v>
      </c>
      <c r="K297" s="61" t="s">
        <v>443</v>
      </c>
      <c r="L297" s="64">
        <v>0</v>
      </c>
      <c r="M297" s="64">
        <v>29.643999999999998</v>
      </c>
      <c r="N297" s="64">
        <v>38.479999999999997</v>
      </c>
      <c r="O297" s="61" t="s">
        <v>444</v>
      </c>
      <c r="P297" s="64">
        <v>11.85</v>
      </c>
      <c r="Q297" s="65">
        <v>118.79</v>
      </c>
      <c r="R297" s="65">
        <v>23.96</v>
      </c>
      <c r="S297" s="65">
        <v>0</v>
      </c>
      <c r="T297" s="65">
        <v>0</v>
      </c>
      <c r="U297" s="65">
        <v>142.75</v>
      </c>
    </row>
    <row r="298" spans="1:21" s="61" customFormat="1" hidden="1" x14ac:dyDescent="0.25">
      <c r="A298" s="62">
        <v>553848</v>
      </c>
      <c r="B298" s="61" t="s">
        <v>445</v>
      </c>
      <c r="C298" s="63">
        <v>39871</v>
      </c>
      <c r="D298" s="63">
        <v>39871.333333333336</v>
      </c>
      <c r="E298" s="61" t="s">
        <v>446</v>
      </c>
      <c r="F298" s="61" t="s">
        <v>452</v>
      </c>
      <c r="G298" s="61" t="s">
        <v>501</v>
      </c>
      <c r="H298" s="61" t="s">
        <v>441</v>
      </c>
      <c r="I298" s="61" t="s">
        <v>442</v>
      </c>
      <c r="J298" s="61" t="s">
        <v>443</v>
      </c>
      <c r="K298" s="61" t="s">
        <v>443</v>
      </c>
      <c r="L298" s="64">
        <v>0</v>
      </c>
      <c r="M298" s="64">
        <v>0.5</v>
      </c>
      <c r="N298" s="64">
        <v>0.5</v>
      </c>
      <c r="O298" s="61" t="s">
        <v>444</v>
      </c>
      <c r="P298" s="64">
        <v>0</v>
      </c>
      <c r="Q298" s="65">
        <v>0</v>
      </c>
      <c r="R298" s="65">
        <v>0</v>
      </c>
      <c r="S298" s="65">
        <v>0</v>
      </c>
      <c r="T298" s="65">
        <v>0</v>
      </c>
      <c r="U298" s="65">
        <v>0</v>
      </c>
    </row>
    <row r="299" spans="1:21" s="61" customFormat="1" hidden="1" x14ac:dyDescent="0.25">
      <c r="A299" s="62">
        <v>550533</v>
      </c>
      <c r="B299" s="61" t="s">
        <v>437</v>
      </c>
      <c r="C299" s="63">
        <v>39853</v>
      </c>
      <c r="D299" s="63">
        <v>39857.333333333336</v>
      </c>
      <c r="E299" s="61" t="s">
        <v>450</v>
      </c>
      <c r="F299" s="61" t="s">
        <v>507</v>
      </c>
      <c r="G299" s="61" t="s">
        <v>501</v>
      </c>
      <c r="H299" s="61" t="s">
        <v>441</v>
      </c>
      <c r="I299" s="61" t="s">
        <v>442</v>
      </c>
      <c r="J299" s="61" t="s">
        <v>443</v>
      </c>
      <c r="K299" s="61" t="s">
        <v>443</v>
      </c>
      <c r="L299" s="64">
        <v>0</v>
      </c>
      <c r="M299" s="64">
        <v>0</v>
      </c>
      <c r="N299" s="64">
        <v>28.173999999999999</v>
      </c>
      <c r="O299" s="61" t="s">
        <v>444</v>
      </c>
      <c r="P299" s="64">
        <v>14.6</v>
      </c>
      <c r="Q299" s="65">
        <v>1960.96</v>
      </c>
      <c r="R299" s="65">
        <v>369.32</v>
      </c>
      <c r="S299" s="65">
        <v>0</v>
      </c>
      <c r="T299" s="65">
        <v>0</v>
      </c>
      <c r="U299" s="65">
        <v>2330.2800000000002</v>
      </c>
    </row>
    <row r="300" spans="1:21" s="61" customFormat="1" hidden="1" x14ac:dyDescent="0.25">
      <c r="A300" s="62">
        <v>550533</v>
      </c>
      <c r="B300" s="61" t="s">
        <v>437</v>
      </c>
      <c r="C300" s="63">
        <v>39853</v>
      </c>
      <c r="D300" s="63">
        <v>39857.333333333336</v>
      </c>
      <c r="E300" s="61" t="s">
        <v>450</v>
      </c>
      <c r="F300" s="61" t="s">
        <v>507</v>
      </c>
      <c r="G300" s="61" t="s">
        <v>501</v>
      </c>
      <c r="H300" s="61" t="s">
        <v>441</v>
      </c>
      <c r="I300" s="61" t="s">
        <v>442</v>
      </c>
      <c r="J300" s="61" t="s">
        <v>443</v>
      </c>
      <c r="K300" s="61" t="s">
        <v>443</v>
      </c>
      <c r="L300" s="64">
        <v>0</v>
      </c>
      <c r="M300" s="64">
        <v>29.643999999999998</v>
      </c>
      <c r="N300" s="64">
        <v>38.479999999999997</v>
      </c>
      <c r="O300" s="61" t="s">
        <v>444</v>
      </c>
      <c r="P300" s="64">
        <v>4.5999999999999996</v>
      </c>
      <c r="Q300" s="65">
        <v>617.84</v>
      </c>
      <c r="R300" s="65">
        <v>116.36</v>
      </c>
      <c r="S300" s="65">
        <v>0</v>
      </c>
      <c r="T300" s="65">
        <v>0</v>
      </c>
      <c r="U300" s="65">
        <v>734.2</v>
      </c>
    </row>
    <row r="301" spans="1:21" s="61" customFormat="1" hidden="1" x14ac:dyDescent="0.25">
      <c r="A301" s="62">
        <v>542255</v>
      </c>
      <c r="B301" s="61" t="s">
        <v>437</v>
      </c>
      <c r="C301" s="63">
        <v>39818</v>
      </c>
      <c r="D301" s="63">
        <v>39818.333333333336</v>
      </c>
      <c r="E301" s="61" t="s">
        <v>450</v>
      </c>
      <c r="F301" s="61" t="s">
        <v>462</v>
      </c>
      <c r="G301" s="61" t="s">
        <v>501</v>
      </c>
      <c r="H301" s="61" t="s">
        <v>441</v>
      </c>
      <c r="I301" s="61" t="s">
        <v>442</v>
      </c>
      <c r="J301" s="61" t="s">
        <v>443</v>
      </c>
      <c r="K301" s="61" t="s">
        <v>443</v>
      </c>
      <c r="L301" s="64">
        <v>0</v>
      </c>
      <c r="M301" s="64">
        <v>0</v>
      </c>
      <c r="N301" s="64">
        <v>28.173999999999999</v>
      </c>
      <c r="O301" s="61" t="s">
        <v>444</v>
      </c>
      <c r="P301" s="64">
        <v>35.04</v>
      </c>
      <c r="Q301" s="65">
        <v>1770.8</v>
      </c>
      <c r="R301" s="65">
        <v>237.22</v>
      </c>
      <c r="S301" s="65">
        <v>0</v>
      </c>
      <c r="T301" s="65">
        <v>0</v>
      </c>
      <c r="U301" s="65">
        <v>2008.03</v>
      </c>
    </row>
    <row r="302" spans="1:21" s="61" customFormat="1" hidden="1" x14ac:dyDescent="0.25">
      <c r="A302" s="62">
        <v>542255</v>
      </c>
      <c r="B302" s="61" t="s">
        <v>437</v>
      </c>
      <c r="C302" s="63">
        <v>39818</v>
      </c>
      <c r="D302" s="63">
        <v>39818.333333333336</v>
      </c>
      <c r="E302" s="61" t="s">
        <v>450</v>
      </c>
      <c r="F302" s="61" t="s">
        <v>462</v>
      </c>
      <c r="G302" s="61" t="s">
        <v>501</v>
      </c>
      <c r="H302" s="61" t="s">
        <v>441</v>
      </c>
      <c r="I302" s="61" t="s">
        <v>442</v>
      </c>
      <c r="J302" s="61" t="s">
        <v>443</v>
      </c>
      <c r="K302" s="61" t="s">
        <v>443</v>
      </c>
      <c r="L302" s="64">
        <v>0</v>
      </c>
      <c r="M302" s="64">
        <v>29.643999999999998</v>
      </c>
      <c r="N302" s="64">
        <v>38.479999999999997</v>
      </c>
      <c r="O302" s="61" t="s">
        <v>444</v>
      </c>
      <c r="P302" s="64">
        <v>11.04</v>
      </c>
      <c r="Q302" s="65">
        <v>557.91999999999996</v>
      </c>
      <c r="R302" s="65">
        <v>74.739999999999995</v>
      </c>
      <c r="S302" s="65">
        <v>0</v>
      </c>
      <c r="T302" s="65">
        <v>0</v>
      </c>
      <c r="U302" s="65">
        <v>632.66999999999996</v>
      </c>
    </row>
    <row r="303" spans="1:21" s="61" customFormat="1" hidden="1" x14ac:dyDescent="0.25">
      <c r="A303" s="62">
        <v>521228</v>
      </c>
      <c r="B303" s="61" t="s">
        <v>472</v>
      </c>
      <c r="C303" s="63">
        <v>39722</v>
      </c>
      <c r="D303" s="63">
        <v>39723.333333333336</v>
      </c>
      <c r="E303" s="61" t="s">
        <v>500</v>
      </c>
      <c r="F303" s="61" t="s">
        <v>508</v>
      </c>
      <c r="G303" s="61" t="s">
        <v>501</v>
      </c>
      <c r="H303" s="61" t="s">
        <v>441</v>
      </c>
      <c r="I303" s="61" t="s">
        <v>442</v>
      </c>
      <c r="J303" s="61" t="s">
        <v>443</v>
      </c>
      <c r="K303" s="61" t="s">
        <v>443</v>
      </c>
      <c r="L303" s="64">
        <v>0</v>
      </c>
      <c r="M303" s="64">
        <v>0</v>
      </c>
      <c r="N303" s="64">
        <v>28.173999999999999</v>
      </c>
      <c r="O303" s="61" t="s">
        <v>444</v>
      </c>
      <c r="P303" s="64">
        <v>8.0299999999999994</v>
      </c>
      <c r="Q303" s="65">
        <v>1135.6500000000001</v>
      </c>
      <c r="R303" s="65">
        <v>712.66</v>
      </c>
      <c r="S303" s="65">
        <v>2974.89</v>
      </c>
      <c r="T303" s="65">
        <v>0</v>
      </c>
      <c r="U303" s="65">
        <v>4823.1899999999996</v>
      </c>
    </row>
    <row r="304" spans="1:21" s="61" customFormat="1" hidden="1" x14ac:dyDescent="0.25">
      <c r="A304" s="62">
        <v>521228</v>
      </c>
      <c r="B304" s="61" t="s">
        <v>472</v>
      </c>
      <c r="C304" s="63">
        <v>39722</v>
      </c>
      <c r="D304" s="63">
        <v>39723.333333333336</v>
      </c>
      <c r="E304" s="61" t="s">
        <v>500</v>
      </c>
      <c r="F304" s="61" t="s">
        <v>508</v>
      </c>
      <c r="G304" s="61" t="s">
        <v>501</v>
      </c>
      <c r="H304" s="61" t="s">
        <v>441</v>
      </c>
      <c r="I304" s="61" t="s">
        <v>442</v>
      </c>
      <c r="J304" s="61" t="s">
        <v>443</v>
      </c>
      <c r="K304" s="61" t="s">
        <v>443</v>
      </c>
      <c r="L304" s="64">
        <v>0</v>
      </c>
      <c r="M304" s="64">
        <v>29.643999999999998</v>
      </c>
      <c r="N304" s="64">
        <v>38.479999999999997</v>
      </c>
      <c r="O304" s="61" t="s">
        <v>444</v>
      </c>
      <c r="P304" s="64">
        <v>2.5299999999999998</v>
      </c>
      <c r="Q304" s="65">
        <v>357.81</v>
      </c>
      <c r="R304" s="65">
        <v>224.54</v>
      </c>
      <c r="S304" s="65">
        <v>937.29</v>
      </c>
      <c r="T304" s="65">
        <v>0</v>
      </c>
      <c r="U304" s="65">
        <v>1519.64</v>
      </c>
    </row>
    <row r="305" spans="1:21" s="61" customFormat="1" hidden="1" x14ac:dyDescent="0.25">
      <c r="A305" s="62">
        <v>515106</v>
      </c>
      <c r="B305" s="61" t="s">
        <v>437</v>
      </c>
      <c r="C305" s="63">
        <v>39703</v>
      </c>
      <c r="D305" s="63">
        <v>39752</v>
      </c>
      <c r="E305" s="61" t="s">
        <v>450</v>
      </c>
      <c r="F305" s="61" t="s">
        <v>504</v>
      </c>
      <c r="G305" s="61" t="s">
        <v>501</v>
      </c>
      <c r="H305" s="61" t="s">
        <v>441</v>
      </c>
      <c r="I305" s="61" t="s">
        <v>442</v>
      </c>
      <c r="J305" s="61" t="s">
        <v>443</v>
      </c>
      <c r="K305" s="61" t="s">
        <v>443</v>
      </c>
      <c r="L305" s="64">
        <v>0</v>
      </c>
      <c r="M305" s="64">
        <v>1</v>
      </c>
      <c r="N305" s="64">
        <v>2.0009999999999999</v>
      </c>
      <c r="O305" s="61" t="s">
        <v>444</v>
      </c>
      <c r="P305" s="64">
        <v>9</v>
      </c>
      <c r="Q305" s="65">
        <v>9554.1</v>
      </c>
      <c r="R305" s="65">
        <v>4510.32</v>
      </c>
      <c r="S305" s="65">
        <v>789.27</v>
      </c>
      <c r="T305" s="65">
        <v>0</v>
      </c>
      <c r="U305" s="65">
        <v>14853.69</v>
      </c>
    </row>
    <row r="306" spans="1:21" s="61" customFormat="1" hidden="1" x14ac:dyDescent="0.25">
      <c r="A306" s="62">
        <v>506719</v>
      </c>
      <c r="B306" s="61" t="s">
        <v>445</v>
      </c>
      <c r="C306" s="63">
        <v>39675</v>
      </c>
      <c r="D306" s="63">
        <v>39675.333333333336</v>
      </c>
      <c r="E306" s="61" t="s">
        <v>446</v>
      </c>
      <c r="F306" s="61" t="s">
        <v>452</v>
      </c>
      <c r="G306" s="61" t="s">
        <v>501</v>
      </c>
      <c r="H306" s="61" t="s">
        <v>441</v>
      </c>
      <c r="I306" s="61" t="s">
        <v>442</v>
      </c>
      <c r="J306" s="61" t="s">
        <v>443</v>
      </c>
      <c r="K306" s="61" t="s">
        <v>443</v>
      </c>
      <c r="L306" s="64">
        <v>0</v>
      </c>
      <c r="M306" s="64">
        <v>0</v>
      </c>
      <c r="N306" s="64">
        <v>28.173999999999999</v>
      </c>
      <c r="O306" s="61" t="s">
        <v>444</v>
      </c>
      <c r="P306" s="64">
        <v>2.19</v>
      </c>
      <c r="Q306" s="65">
        <v>38.19</v>
      </c>
      <c r="R306" s="65">
        <v>26.78</v>
      </c>
      <c r="S306" s="65">
        <v>0</v>
      </c>
      <c r="T306" s="65">
        <v>0</v>
      </c>
      <c r="U306" s="65">
        <v>64.98</v>
      </c>
    </row>
    <row r="307" spans="1:21" s="61" customFormat="1" hidden="1" x14ac:dyDescent="0.25">
      <c r="A307" s="62">
        <v>506719</v>
      </c>
      <c r="B307" s="61" t="s">
        <v>445</v>
      </c>
      <c r="C307" s="63">
        <v>39675</v>
      </c>
      <c r="D307" s="63">
        <v>39675.333333333336</v>
      </c>
      <c r="E307" s="61" t="s">
        <v>446</v>
      </c>
      <c r="F307" s="61" t="s">
        <v>452</v>
      </c>
      <c r="G307" s="61" t="s">
        <v>501</v>
      </c>
      <c r="H307" s="61" t="s">
        <v>441</v>
      </c>
      <c r="I307" s="61" t="s">
        <v>442</v>
      </c>
      <c r="J307" s="61" t="s">
        <v>443</v>
      </c>
      <c r="K307" s="61" t="s">
        <v>443</v>
      </c>
      <c r="L307" s="64">
        <v>0</v>
      </c>
      <c r="M307" s="64">
        <v>29.643999999999998</v>
      </c>
      <c r="N307" s="64">
        <v>38.479999999999997</v>
      </c>
      <c r="O307" s="61" t="s">
        <v>444</v>
      </c>
      <c r="P307" s="64">
        <v>0.69</v>
      </c>
      <c r="Q307" s="65">
        <v>12.03</v>
      </c>
      <c r="R307" s="65">
        <v>8.44</v>
      </c>
      <c r="S307" s="65">
        <v>0</v>
      </c>
      <c r="T307" s="65">
        <v>0</v>
      </c>
      <c r="U307" s="65">
        <v>20.47</v>
      </c>
    </row>
    <row r="308" spans="1:21" s="61" customFormat="1" hidden="1" x14ac:dyDescent="0.25">
      <c r="A308" s="62">
        <v>501226</v>
      </c>
      <c r="B308" s="61" t="s">
        <v>437</v>
      </c>
      <c r="C308" s="63">
        <v>39657</v>
      </c>
      <c r="D308" s="63">
        <v>39671</v>
      </c>
      <c r="E308" s="61" t="s">
        <v>450</v>
      </c>
      <c r="F308" s="61" t="s">
        <v>509</v>
      </c>
      <c r="G308" s="61" t="s">
        <v>501</v>
      </c>
      <c r="H308" s="61" t="s">
        <v>441</v>
      </c>
      <c r="I308" s="61" t="s">
        <v>442</v>
      </c>
      <c r="J308" s="61" t="s">
        <v>443</v>
      </c>
      <c r="K308" s="61" t="s">
        <v>443</v>
      </c>
      <c r="L308" s="64">
        <v>0</v>
      </c>
      <c r="M308" s="64">
        <v>24.318000000000001</v>
      </c>
      <c r="N308" s="64">
        <v>24.568000000000001</v>
      </c>
      <c r="O308" s="61" t="s">
        <v>444</v>
      </c>
      <c r="P308" s="64">
        <v>24974.46</v>
      </c>
      <c r="Q308" s="65">
        <v>11927.02</v>
      </c>
      <c r="R308" s="65">
        <v>13047.44</v>
      </c>
      <c r="S308" s="65">
        <v>0</v>
      </c>
      <c r="T308" s="65">
        <v>0</v>
      </c>
      <c r="U308" s="65">
        <v>24974.46</v>
      </c>
    </row>
    <row r="309" spans="1:21" s="61" customFormat="1" hidden="1" x14ac:dyDescent="0.25">
      <c r="A309" s="62">
        <v>498785</v>
      </c>
      <c r="B309" s="61" t="s">
        <v>437</v>
      </c>
      <c r="C309" s="63">
        <v>39658</v>
      </c>
      <c r="D309" s="63">
        <v>39691</v>
      </c>
      <c r="E309" s="61" t="s">
        <v>450</v>
      </c>
      <c r="F309" s="61" t="s">
        <v>478</v>
      </c>
      <c r="G309" s="61" t="s">
        <v>501</v>
      </c>
      <c r="H309" s="61" t="s">
        <v>441</v>
      </c>
      <c r="I309" s="61" t="s">
        <v>442</v>
      </c>
      <c r="J309" s="61" t="s">
        <v>443</v>
      </c>
      <c r="K309" s="61" t="s">
        <v>443</v>
      </c>
      <c r="L309" s="64">
        <v>0</v>
      </c>
      <c r="M309" s="64">
        <v>24.468</v>
      </c>
      <c r="N309" s="64">
        <v>24.468</v>
      </c>
      <c r="O309" s="61" t="s">
        <v>444</v>
      </c>
      <c r="P309" s="64">
        <v>40</v>
      </c>
      <c r="Q309" s="65">
        <v>2854.59</v>
      </c>
      <c r="R309" s="65">
        <v>1940.41</v>
      </c>
      <c r="S309" s="65">
        <v>2223.7199999999998</v>
      </c>
      <c r="T309" s="65">
        <v>0</v>
      </c>
      <c r="U309" s="65">
        <v>7018.72</v>
      </c>
    </row>
    <row r="310" spans="1:21" s="61" customFormat="1" hidden="1" x14ac:dyDescent="0.25">
      <c r="A310" s="62">
        <v>498778</v>
      </c>
      <c r="B310" s="61" t="s">
        <v>437</v>
      </c>
      <c r="C310" s="63">
        <v>39659</v>
      </c>
      <c r="D310" s="63">
        <v>39664.333333333336</v>
      </c>
      <c r="E310" s="61" t="s">
        <v>450</v>
      </c>
      <c r="F310" s="61" t="s">
        <v>478</v>
      </c>
      <c r="G310" s="61" t="s">
        <v>501</v>
      </c>
      <c r="H310" s="61" t="s">
        <v>441</v>
      </c>
      <c r="I310" s="61" t="s">
        <v>442</v>
      </c>
      <c r="J310" s="61" t="s">
        <v>443</v>
      </c>
      <c r="K310" s="61" t="s">
        <v>443</v>
      </c>
      <c r="L310" s="64">
        <v>0</v>
      </c>
      <c r="M310" s="64">
        <v>24.367999999999999</v>
      </c>
      <c r="N310" s="64">
        <v>24.367999999999999</v>
      </c>
      <c r="O310" s="61" t="s">
        <v>444</v>
      </c>
      <c r="P310" s="64">
        <v>50</v>
      </c>
      <c r="Q310" s="65">
        <v>2870.36</v>
      </c>
      <c r="R310" s="65">
        <v>2216.41</v>
      </c>
      <c r="S310" s="65">
        <v>483.84</v>
      </c>
      <c r="T310" s="65">
        <v>0</v>
      </c>
      <c r="U310" s="65">
        <v>5570.61</v>
      </c>
    </row>
    <row r="311" spans="1:21" s="61" customFormat="1" hidden="1" x14ac:dyDescent="0.25">
      <c r="A311" s="62">
        <v>497536</v>
      </c>
      <c r="B311" s="61" t="s">
        <v>445</v>
      </c>
      <c r="C311" s="63">
        <v>39651</v>
      </c>
      <c r="D311" s="63">
        <v>39651.333333333336</v>
      </c>
      <c r="E311" s="61" t="s">
        <v>446</v>
      </c>
      <c r="F311" s="61" t="s">
        <v>452</v>
      </c>
      <c r="G311" s="61" t="s">
        <v>501</v>
      </c>
      <c r="H311" s="61" t="s">
        <v>441</v>
      </c>
      <c r="I311" s="61" t="s">
        <v>442</v>
      </c>
      <c r="J311" s="61" t="s">
        <v>443</v>
      </c>
      <c r="K311" s="61" t="s">
        <v>443</v>
      </c>
      <c r="L311" s="64">
        <v>0</v>
      </c>
      <c r="M311" s="64">
        <v>0</v>
      </c>
      <c r="N311" s="64">
        <v>28.173999999999999</v>
      </c>
      <c r="O311" s="61" t="s">
        <v>444</v>
      </c>
      <c r="P311" s="64">
        <v>11.68</v>
      </c>
      <c r="Q311" s="65">
        <v>297.72000000000003</v>
      </c>
      <c r="R311" s="65">
        <v>214.27</v>
      </c>
      <c r="S311" s="65">
        <v>0</v>
      </c>
      <c r="T311" s="65">
        <v>0</v>
      </c>
      <c r="U311" s="65">
        <v>511.99</v>
      </c>
    </row>
    <row r="312" spans="1:21" s="61" customFormat="1" hidden="1" x14ac:dyDescent="0.25">
      <c r="A312" s="62">
        <v>497536</v>
      </c>
      <c r="B312" s="61" t="s">
        <v>445</v>
      </c>
      <c r="C312" s="63">
        <v>39651</v>
      </c>
      <c r="D312" s="63">
        <v>39651.333333333336</v>
      </c>
      <c r="E312" s="61" t="s">
        <v>446</v>
      </c>
      <c r="F312" s="61" t="s">
        <v>452</v>
      </c>
      <c r="G312" s="61" t="s">
        <v>501</v>
      </c>
      <c r="H312" s="61" t="s">
        <v>441</v>
      </c>
      <c r="I312" s="61" t="s">
        <v>442</v>
      </c>
      <c r="J312" s="61" t="s">
        <v>443</v>
      </c>
      <c r="K312" s="61" t="s">
        <v>443</v>
      </c>
      <c r="L312" s="64">
        <v>0</v>
      </c>
      <c r="M312" s="64">
        <v>29.643999999999998</v>
      </c>
      <c r="N312" s="64">
        <v>38.479999999999997</v>
      </c>
      <c r="O312" s="61" t="s">
        <v>444</v>
      </c>
      <c r="P312" s="64">
        <v>3.68</v>
      </c>
      <c r="Q312" s="65">
        <v>93.8</v>
      </c>
      <c r="R312" s="65">
        <v>67.510000000000005</v>
      </c>
      <c r="S312" s="65">
        <v>0</v>
      </c>
      <c r="T312" s="65">
        <v>0</v>
      </c>
      <c r="U312" s="65">
        <v>161.31</v>
      </c>
    </row>
    <row r="313" spans="1:21" s="61" customFormat="1" hidden="1" x14ac:dyDescent="0.25">
      <c r="A313" s="62">
        <v>494723</v>
      </c>
      <c r="B313" s="61" t="s">
        <v>437</v>
      </c>
      <c r="C313" s="63">
        <v>39644</v>
      </c>
      <c r="D313" s="63">
        <v>39645</v>
      </c>
      <c r="E313" s="61" t="s">
        <v>450</v>
      </c>
      <c r="F313" s="61" t="s">
        <v>491</v>
      </c>
      <c r="G313" s="61" t="s">
        <v>501</v>
      </c>
      <c r="H313" s="61" t="s">
        <v>441</v>
      </c>
      <c r="I313" s="61" t="s">
        <v>442</v>
      </c>
      <c r="J313" s="61" t="s">
        <v>443</v>
      </c>
      <c r="K313" s="61" t="s">
        <v>443</v>
      </c>
      <c r="L313" s="64">
        <v>0</v>
      </c>
      <c r="M313" s="64">
        <v>0</v>
      </c>
      <c r="N313" s="64">
        <v>18.975999999999999</v>
      </c>
      <c r="O313" s="61" t="s">
        <v>444</v>
      </c>
      <c r="P313" s="64">
        <v>75</v>
      </c>
      <c r="Q313" s="65">
        <v>3293.32</v>
      </c>
      <c r="R313" s="65">
        <v>1206.6400000000001</v>
      </c>
      <c r="S313" s="65">
        <v>0</v>
      </c>
      <c r="T313" s="65">
        <v>0</v>
      </c>
      <c r="U313" s="65">
        <v>4499.96</v>
      </c>
    </row>
    <row r="314" spans="1:21" s="61" customFormat="1" hidden="1" x14ac:dyDescent="0.25">
      <c r="A314" s="62">
        <v>494284</v>
      </c>
      <c r="B314" s="61" t="s">
        <v>472</v>
      </c>
      <c r="C314" s="63">
        <v>39647</v>
      </c>
      <c r="D314" s="63">
        <v>39975.333333333336</v>
      </c>
      <c r="E314" s="61" t="s">
        <v>500</v>
      </c>
      <c r="F314" s="61" t="s">
        <v>506</v>
      </c>
      <c r="G314" s="61" t="s">
        <v>501</v>
      </c>
      <c r="H314" s="61" t="s">
        <v>441</v>
      </c>
      <c r="I314" s="61" t="s">
        <v>442</v>
      </c>
      <c r="J314" s="61" t="s">
        <v>443</v>
      </c>
      <c r="K314" s="61" t="s">
        <v>443</v>
      </c>
      <c r="L314" s="64">
        <v>0</v>
      </c>
      <c r="M314" s="64">
        <v>0</v>
      </c>
      <c r="N314" s="64">
        <v>28.173999999999999</v>
      </c>
      <c r="O314" s="61" t="s">
        <v>444</v>
      </c>
      <c r="P314" s="64">
        <v>21783.200000000001</v>
      </c>
      <c r="Q314" s="65">
        <v>4738.63</v>
      </c>
      <c r="R314" s="65">
        <v>921.7</v>
      </c>
      <c r="S314" s="65">
        <v>49.38</v>
      </c>
      <c r="T314" s="65">
        <v>0</v>
      </c>
      <c r="U314" s="65">
        <v>5709.72</v>
      </c>
    </row>
    <row r="315" spans="1:21" s="61" customFormat="1" hidden="1" x14ac:dyDescent="0.25">
      <c r="A315" s="62">
        <v>494284</v>
      </c>
      <c r="B315" s="61" t="s">
        <v>472</v>
      </c>
      <c r="C315" s="63">
        <v>39647</v>
      </c>
      <c r="D315" s="63">
        <v>39975.333333333336</v>
      </c>
      <c r="E315" s="61" t="s">
        <v>500</v>
      </c>
      <c r="F315" s="61" t="s">
        <v>506</v>
      </c>
      <c r="G315" s="61" t="s">
        <v>501</v>
      </c>
      <c r="H315" s="61" t="s">
        <v>441</v>
      </c>
      <c r="I315" s="61" t="s">
        <v>442</v>
      </c>
      <c r="J315" s="61" t="s">
        <v>443</v>
      </c>
      <c r="K315" s="61" t="s">
        <v>443</v>
      </c>
      <c r="L315" s="64">
        <v>0</v>
      </c>
      <c r="M315" s="64">
        <v>29.643999999999998</v>
      </c>
      <c r="N315" s="64">
        <v>38.479999999999997</v>
      </c>
      <c r="O315" s="61" t="s">
        <v>444</v>
      </c>
      <c r="P315" s="64">
        <v>6863.2</v>
      </c>
      <c r="Q315" s="65">
        <v>1492.99</v>
      </c>
      <c r="R315" s="65">
        <v>290.39999999999998</v>
      </c>
      <c r="S315" s="65">
        <v>15.56</v>
      </c>
      <c r="T315" s="65">
        <v>0</v>
      </c>
      <c r="U315" s="65">
        <v>1798.95</v>
      </c>
    </row>
    <row r="316" spans="1:21" s="61" customFormat="1" hidden="1" x14ac:dyDescent="0.25">
      <c r="A316" s="62">
        <v>491166</v>
      </c>
      <c r="B316" s="61" t="s">
        <v>472</v>
      </c>
      <c r="C316" s="63">
        <v>39630</v>
      </c>
      <c r="D316" s="63">
        <v>39994.333333333336</v>
      </c>
      <c r="E316" s="61" t="s">
        <v>500</v>
      </c>
      <c r="F316" s="61" t="s">
        <v>506</v>
      </c>
      <c r="G316" s="61" t="s">
        <v>501</v>
      </c>
      <c r="H316" s="61" t="s">
        <v>441</v>
      </c>
      <c r="I316" s="61" t="s">
        <v>442</v>
      </c>
      <c r="J316" s="61" t="s">
        <v>443</v>
      </c>
      <c r="K316" s="61" t="s">
        <v>443</v>
      </c>
      <c r="L316" s="64">
        <v>0</v>
      </c>
      <c r="M316" s="64">
        <v>0</v>
      </c>
      <c r="N316" s="64">
        <v>28.173999999999999</v>
      </c>
      <c r="O316" s="61" t="s">
        <v>444</v>
      </c>
      <c r="P316" s="64">
        <v>0</v>
      </c>
      <c r="Q316" s="65">
        <v>0</v>
      </c>
      <c r="R316" s="65">
        <v>0</v>
      </c>
      <c r="S316" s="65">
        <v>0</v>
      </c>
      <c r="T316" s="65">
        <v>0</v>
      </c>
      <c r="U316" s="65">
        <v>0</v>
      </c>
    </row>
    <row r="317" spans="1:21" s="61" customFormat="1" hidden="1" x14ac:dyDescent="0.25">
      <c r="A317" s="62">
        <v>491166</v>
      </c>
      <c r="B317" s="61" t="s">
        <v>472</v>
      </c>
      <c r="C317" s="63">
        <v>39630</v>
      </c>
      <c r="D317" s="63">
        <v>39994.333333333336</v>
      </c>
      <c r="E317" s="61" t="s">
        <v>500</v>
      </c>
      <c r="F317" s="61" t="s">
        <v>506</v>
      </c>
      <c r="G317" s="61" t="s">
        <v>501</v>
      </c>
      <c r="H317" s="61" t="s">
        <v>441</v>
      </c>
      <c r="I317" s="61" t="s">
        <v>442</v>
      </c>
      <c r="J317" s="61" t="s">
        <v>443</v>
      </c>
      <c r="K317" s="61" t="s">
        <v>443</v>
      </c>
      <c r="L317" s="64">
        <v>0</v>
      </c>
      <c r="M317" s="64">
        <v>29.643999999999998</v>
      </c>
      <c r="N317" s="64">
        <v>38.479999999999997</v>
      </c>
      <c r="O317" s="61" t="s">
        <v>444</v>
      </c>
      <c r="P317" s="64">
        <v>0</v>
      </c>
      <c r="Q317" s="65">
        <v>0</v>
      </c>
      <c r="R317" s="65">
        <v>0</v>
      </c>
      <c r="S317" s="65">
        <v>0</v>
      </c>
      <c r="T317" s="65">
        <v>0</v>
      </c>
      <c r="U317" s="65">
        <v>0</v>
      </c>
    </row>
    <row r="318" spans="1:21" s="61" customFormat="1" hidden="1" x14ac:dyDescent="0.25">
      <c r="A318" s="62">
        <v>483915</v>
      </c>
      <c r="B318" s="61" t="s">
        <v>437</v>
      </c>
      <c r="C318" s="63">
        <v>39609</v>
      </c>
      <c r="D318" s="63">
        <v>39864</v>
      </c>
      <c r="E318" s="61" t="s">
        <v>450</v>
      </c>
      <c r="F318" s="61" t="s">
        <v>505</v>
      </c>
      <c r="G318" s="61" t="s">
        <v>510</v>
      </c>
      <c r="H318" s="61" t="s">
        <v>441</v>
      </c>
      <c r="I318" s="61" t="s">
        <v>454</v>
      </c>
      <c r="J318" s="61" t="s">
        <v>443</v>
      </c>
      <c r="K318" s="61" t="s">
        <v>443</v>
      </c>
      <c r="L318" s="64">
        <v>0</v>
      </c>
      <c r="M318" s="64">
        <v>0</v>
      </c>
      <c r="N318" s="64">
        <v>3.4409999999999998</v>
      </c>
      <c r="O318" s="61" t="s">
        <v>444</v>
      </c>
      <c r="P318" s="64">
        <v>1000</v>
      </c>
      <c r="Q318" s="65">
        <v>1593.28</v>
      </c>
      <c r="R318" s="65">
        <v>915.36</v>
      </c>
      <c r="S318" s="65">
        <v>0</v>
      </c>
      <c r="T318" s="65">
        <v>0</v>
      </c>
      <c r="U318" s="65">
        <v>2508.64</v>
      </c>
    </row>
    <row r="319" spans="1:21" s="61" customFormat="1" hidden="1" x14ac:dyDescent="0.25">
      <c r="A319" s="62">
        <v>483914</v>
      </c>
      <c r="B319" s="61" t="s">
        <v>437</v>
      </c>
      <c r="C319" s="63">
        <v>39609</v>
      </c>
      <c r="D319" s="63">
        <v>39864</v>
      </c>
      <c r="E319" s="61" t="s">
        <v>450</v>
      </c>
      <c r="F319" s="61" t="s">
        <v>478</v>
      </c>
      <c r="G319" s="61" t="s">
        <v>510</v>
      </c>
      <c r="H319" s="61" t="s">
        <v>441</v>
      </c>
      <c r="I319" s="61" t="s">
        <v>454</v>
      </c>
      <c r="J319" s="61" t="s">
        <v>443</v>
      </c>
      <c r="K319" s="61" t="s">
        <v>443</v>
      </c>
      <c r="L319" s="64">
        <v>0</v>
      </c>
      <c r="M319" s="64">
        <v>0</v>
      </c>
      <c r="N319" s="64">
        <v>3.4409999999999998</v>
      </c>
      <c r="O319" s="61" t="s">
        <v>444</v>
      </c>
      <c r="P319" s="64">
        <v>40</v>
      </c>
      <c r="Q319" s="65">
        <v>796.64</v>
      </c>
      <c r="R319" s="65">
        <v>457.68</v>
      </c>
      <c r="S319" s="65">
        <v>0</v>
      </c>
      <c r="T319" s="65">
        <v>0</v>
      </c>
      <c r="U319" s="65">
        <v>1254.32</v>
      </c>
    </row>
    <row r="320" spans="1:21" s="61" customFormat="1" hidden="1" x14ac:dyDescent="0.25">
      <c r="A320" s="62">
        <v>479820</v>
      </c>
      <c r="B320" s="61" t="s">
        <v>437</v>
      </c>
      <c r="C320" s="63">
        <v>39597</v>
      </c>
      <c r="D320" s="63">
        <v>39601</v>
      </c>
      <c r="E320" s="61" t="s">
        <v>455</v>
      </c>
      <c r="F320" s="61" t="s">
        <v>478</v>
      </c>
      <c r="G320" s="61" t="s">
        <v>511</v>
      </c>
      <c r="H320" s="61" t="s">
        <v>457</v>
      </c>
      <c r="I320" s="61" t="s">
        <v>442</v>
      </c>
      <c r="J320" s="61" t="s">
        <v>443</v>
      </c>
      <c r="K320" s="61" t="s">
        <v>443</v>
      </c>
      <c r="L320" s="64">
        <v>0</v>
      </c>
      <c r="M320" s="64">
        <v>0</v>
      </c>
      <c r="N320" s="64">
        <v>28.173999999999999</v>
      </c>
      <c r="O320" s="61" t="s">
        <v>444</v>
      </c>
      <c r="P320" s="64">
        <v>25.55</v>
      </c>
      <c r="Q320" s="65">
        <v>1163.0899999999999</v>
      </c>
      <c r="R320" s="65">
        <v>418.84</v>
      </c>
      <c r="S320" s="65">
        <v>669.24</v>
      </c>
      <c r="T320" s="65">
        <v>0</v>
      </c>
      <c r="U320" s="65">
        <v>2251.1799999999998</v>
      </c>
    </row>
    <row r="321" spans="1:21" s="61" customFormat="1" hidden="1" x14ac:dyDescent="0.25">
      <c r="A321" s="62">
        <v>479820</v>
      </c>
      <c r="B321" s="61" t="s">
        <v>437</v>
      </c>
      <c r="C321" s="63">
        <v>39597</v>
      </c>
      <c r="D321" s="63">
        <v>39601</v>
      </c>
      <c r="E321" s="61" t="s">
        <v>455</v>
      </c>
      <c r="F321" s="61" t="s">
        <v>478</v>
      </c>
      <c r="G321" s="61" t="s">
        <v>511</v>
      </c>
      <c r="H321" s="61" t="s">
        <v>457</v>
      </c>
      <c r="I321" s="61" t="s">
        <v>442</v>
      </c>
      <c r="J321" s="61" t="s">
        <v>443</v>
      </c>
      <c r="K321" s="61" t="s">
        <v>443</v>
      </c>
      <c r="L321" s="64">
        <v>0</v>
      </c>
      <c r="M321" s="64">
        <v>29.643999999999998</v>
      </c>
      <c r="N321" s="64">
        <v>38.479999999999997</v>
      </c>
      <c r="O321" s="61" t="s">
        <v>444</v>
      </c>
      <c r="P321" s="64">
        <v>8.0500000000000007</v>
      </c>
      <c r="Q321" s="65">
        <v>366.45</v>
      </c>
      <c r="R321" s="65">
        <v>131.96</v>
      </c>
      <c r="S321" s="65">
        <v>210.86</v>
      </c>
      <c r="T321" s="65">
        <v>0</v>
      </c>
      <c r="U321" s="65">
        <v>709.28</v>
      </c>
    </row>
    <row r="322" spans="1:21" s="61" customFormat="1" hidden="1" x14ac:dyDescent="0.25">
      <c r="A322" s="62">
        <v>474998</v>
      </c>
      <c r="B322" s="61" t="s">
        <v>437</v>
      </c>
      <c r="C322" s="63">
        <v>39588</v>
      </c>
      <c r="D322" s="63">
        <v>39622</v>
      </c>
      <c r="E322" s="61" t="s">
        <v>450</v>
      </c>
      <c r="F322" s="61" t="s">
        <v>512</v>
      </c>
      <c r="G322" s="61" t="s">
        <v>511</v>
      </c>
      <c r="H322" s="61" t="s">
        <v>441</v>
      </c>
      <c r="I322" s="61" t="s">
        <v>442</v>
      </c>
      <c r="J322" s="61" t="s">
        <v>443</v>
      </c>
      <c r="K322" s="61" t="s">
        <v>443</v>
      </c>
      <c r="L322" s="64">
        <v>0</v>
      </c>
      <c r="M322" s="64">
        <v>0</v>
      </c>
      <c r="N322" s="64">
        <v>28.173999999999999</v>
      </c>
      <c r="O322" s="61" t="s">
        <v>444</v>
      </c>
      <c r="P322" s="64">
        <v>1095</v>
      </c>
      <c r="Q322" s="65">
        <v>13870.58</v>
      </c>
      <c r="R322" s="65">
        <v>8337.5300000000007</v>
      </c>
      <c r="S322" s="65">
        <v>284.33999999999997</v>
      </c>
      <c r="T322" s="65">
        <v>0</v>
      </c>
      <c r="U322" s="65">
        <v>22492.45</v>
      </c>
    </row>
    <row r="323" spans="1:21" s="61" customFormat="1" hidden="1" x14ac:dyDescent="0.25">
      <c r="A323" s="62">
        <v>474998</v>
      </c>
      <c r="B323" s="61" t="s">
        <v>437</v>
      </c>
      <c r="C323" s="63">
        <v>39588</v>
      </c>
      <c r="D323" s="63">
        <v>39622</v>
      </c>
      <c r="E323" s="61" t="s">
        <v>450</v>
      </c>
      <c r="F323" s="61" t="s">
        <v>512</v>
      </c>
      <c r="G323" s="61" t="s">
        <v>511</v>
      </c>
      <c r="H323" s="61" t="s">
        <v>441</v>
      </c>
      <c r="I323" s="61" t="s">
        <v>442</v>
      </c>
      <c r="J323" s="61" t="s">
        <v>443</v>
      </c>
      <c r="K323" s="61" t="s">
        <v>443</v>
      </c>
      <c r="L323" s="64">
        <v>0</v>
      </c>
      <c r="M323" s="64">
        <v>29.643999999999998</v>
      </c>
      <c r="N323" s="64">
        <v>38.479999999999997</v>
      </c>
      <c r="O323" s="61" t="s">
        <v>444</v>
      </c>
      <c r="P323" s="64">
        <v>345</v>
      </c>
      <c r="Q323" s="65">
        <v>4370.18</v>
      </c>
      <c r="R323" s="65">
        <v>2626.89</v>
      </c>
      <c r="S323" s="65">
        <v>89.59</v>
      </c>
      <c r="T323" s="65">
        <v>0</v>
      </c>
      <c r="U323" s="65">
        <v>7086.66</v>
      </c>
    </row>
    <row r="324" spans="1:21" s="61" customFormat="1" hidden="1" x14ac:dyDescent="0.25">
      <c r="A324" s="62">
        <v>470191</v>
      </c>
      <c r="B324" s="61" t="s">
        <v>472</v>
      </c>
      <c r="C324" s="63">
        <v>39562</v>
      </c>
      <c r="D324" s="63">
        <v>39568.333333333336</v>
      </c>
      <c r="E324" s="61" t="s">
        <v>500</v>
      </c>
      <c r="F324" s="61" t="s">
        <v>490</v>
      </c>
      <c r="G324" s="61" t="s">
        <v>511</v>
      </c>
      <c r="H324" s="61" t="s">
        <v>441</v>
      </c>
      <c r="I324" s="61" t="s">
        <v>442</v>
      </c>
      <c r="J324" s="61" t="s">
        <v>443</v>
      </c>
      <c r="K324" s="61" t="s">
        <v>443</v>
      </c>
      <c r="L324" s="64">
        <v>0</v>
      </c>
      <c r="M324" s="64">
        <v>0</v>
      </c>
      <c r="N324" s="64">
        <v>28.173999999999999</v>
      </c>
      <c r="O324" s="61" t="s">
        <v>444</v>
      </c>
      <c r="P324" s="64">
        <v>38544</v>
      </c>
      <c r="Q324" s="65">
        <v>406.11</v>
      </c>
      <c r="R324" s="65">
        <v>245.63</v>
      </c>
      <c r="S324" s="65">
        <v>689.09</v>
      </c>
      <c r="T324" s="65">
        <v>0</v>
      </c>
      <c r="U324" s="65">
        <v>1340.83</v>
      </c>
    </row>
    <row r="325" spans="1:21" s="61" customFormat="1" hidden="1" x14ac:dyDescent="0.25">
      <c r="A325" s="62">
        <v>470191</v>
      </c>
      <c r="B325" s="61" t="s">
        <v>472</v>
      </c>
      <c r="C325" s="63">
        <v>39562</v>
      </c>
      <c r="D325" s="63">
        <v>39568.333333333336</v>
      </c>
      <c r="E325" s="61" t="s">
        <v>500</v>
      </c>
      <c r="F325" s="61" t="s">
        <v>490</v>
      </c>
      <c r="G325" s="61" t="s">
        <v>511</v>
      </c>
      <c r="H325" s="61" t="s">
        <v>441</v>
      </c>
      <c r="I325" s="61" t="s">
        <v>442</v>
      </c>
      <c r="J325" s="61" t="s">
        <v>443</v>
      </c>
      <c r="K325" s="61" t="s">
        <v>443</v>
      </c>
      <c r="L325" s="64">
        <v>0</v>
      </c>
      <c r="M325" s="64">
        <v>29.643999999999998</v>
      </c>
      <c r="N325" s="64">
        <v>38.479999999999997</v>
      </c>
      <c r="O325" s="61" t="s">
        <v>444</v>
      </c>
      <c r="P325" s="64">
        <v>12144</v>
      </c>
      <c r="Q325" s="65">
        <v>127.95</v>
      </c>
      <c r="R325" s="65">
        <v>77.39</v>
      </c>
      <c r="S325" s="65">
        <v>217.11</v>
      </c>
      <c r="T325" s="65">
        <v>0</v>
      </c>
      <c r="U325" s="65">
        <v>422.45</v>
      </c>
    </row>
    <row r="326" spans="1:21" s="61" customFormat="1" hidden="1" x14ac:dyDescent="0.25">
      <c r="A326" s="62">
        <v>468966</v>
      </c>
      <c r="B326" s="61" t="s">
        <v>445</v>
      </c>
      <c r="C326" s="63">
        <v>39560</v>
      </c>
      <c r="D326" s="63">
        <v>39560.333333333336</v>
      </c>
      <c r="E326" s="61" t="s">
        <v>446</v>
      </c>
      <c r="F326" s="61" t="s">
        <v>452</v>
      </c>
      <c r="G326" s="61" t="s">
        <v>511</v>
      </c>
      <c r="H326" s="61" t="s">
        <v>441</v>
      </c>
      <c r="I326" s="61" t="s">
        <v>442</v>
      </c>
      <c r="J326" s="61" t="s">
        <v>443</v>
      </c>
      <c r="K326" s="61" t="s">
        <v>443</v>
      </c>
      <c r="L326" s="64">
        <v>0</v>
      </c>
      <c r="M326" s="64">
        <v>0</v>
      </c>
      <c r="N326" s="64">
        <v>28.173999999999999</v>
      </c>
      <c r="O326" s="61" t="s">
        <v>444</v>
      </c>
      <c r="P326" s="64">
        <v>21.9</v>
      </c>
      <c r="Q326" s="65">
        <v>298.31</v>
      </c>
      <c r="R326" s="65">
        <v>214.27</v>
      </c>
      <c r="S326" s="65">
        <v>0</v>
      </c>
      <c r="T326" s="65">
        <v>0</v>
      </c>
      <c r="U326" s="65">
        <v>512.58000000000004</v>
      </c>
    </row>
    <row r="327" spans="1:21" s="61" customFormat="1" hidden="1" x14ac:dyDescent="0.25">
      <c r="A327" s="62">
        <v>468966</v>
      </c>
      <c r="B327" s="61" t="s">
        <v>445</v>
      </c>
      <c r="C327" s="63">
        <v>39560</v>
      </c>
      <c r="D327" s="63">
        <v>39560.333333333336</v>
      </c>
      <c r="E327" s="61" t="s">
        <v>446</v>
      </c>
      <c r="F327" s="61" t="s">
        <v>452</v>
      </c>
      <c r="G327" s="61" t="s">
        <v>511</v>
      </c>
      <c r="H327" s="61" t="s">
        <v>441</v>
      </c>
      <c r="I327" s="61" t="s">
        <v>442</v>
      </c>
      <c r="J327" s="61" t="s">
        <v>443</v>
      </c>
      <c r="K327" s="61" t="s">
        <v>443</v>
      </c>
      <c r="L327" s="64">
        <v>0</v>
      </c>
      <c r="M327" s="64">
        <v>29.643999999999998</v>
      </c>
      <c r="N327" s="64">
        <v>38.479999999999997</v>
      </c>
      <c r="O327" s="61" t="s">
        <v>444</v>
      </c>
      <c r="P327" s="64">
        <v>6.9</v>
      </c>
      <c r="Q327" s="65">
        <v>93.99</v>
      </c>
      <c r="R327" s="65">
        <v>67.510000000000005</v>
      </c>
      <c r="S327" s="65">
        <v>0</v>
      </c>
      <c r="T327" s="65">
        <v>0</v>
      </c>
      <c r="U327" s="65">
        <v>161.5</v>
      </c>
    </row>
    <row r="328" spans="1:21" s="61" customFormat="1" hidden="1" x14ac:dyDescent="0.25">
      <c r="A328" s="62">
        <v>458778</v>
      </c>
      <c r="B328" s="61" t="s">
        <v>437</v>
      </c>
      <c r="C328" s="63">
        <v>39527</v>
      </c>
      <c r="D328" s="63">
        <v>39533</v>
      </c>
      <c r="E328" s="61" t="s">
        <v>450</v>
      </c>
      <c r="F328" s="61" t="s">
        <v>478</v>
      </c>
      <c r="G328" s="61" t="s">
        <v>511</v>
      </c>
      <c r="H328" s="61" t="s">
        <v>441</v>
      </c>
      <c r="I328" s="61" t="s">
        <v>442</v>
      </c>
      <c r="J328" s="61" t="s">
        <v>443</v>
      </c>
      <c r="K328" s="61" t="s">
        <v>443</v>
      </c>
      <c r="L328" s="64">
        <v>0</v>
      </c>
      <c r="M328" s="64">
        <v>0</v>
      </c>
      <c r="N328" s="64">
        <v>28.173999999999999</v>
      </c>
      <c r="O328" s="61" t="s">
        <v>444</v>
      </c>
      <c r="P328" s="64">
        <v>29.2</v>
      </c>
      <c r="Q328" s="65">
        <v>585.74</v>
      </c>
      <c r="R328" s="65">
        <v>333.96</v>
      </c>
      <c r="S328" s="65">
        <v>592.80999999999995</v>
      </c>
      <c r="T328" s="65">
        <v>0</v>
      </c>
      <c r="U328" s="65">
        <v>1512.51</v>
      </c>
    </row>
    <row r="329" spans="1:21" s="61" customFormat="1" hidden="1" x14ac:dyDescent="0.25">
      <c r="A329" s="62">
        <v>458778</v>
      </c>
      <c r="B329" s="61" t="s">
        <v>437</v>
      </c>
      <c r="C329" s="63">
        <v>39527</v>
      </c>
      <c r="D329" s="63">
        <v>39533</v>
      </c>
      <c r="E329" s="61" t="s">
        <v>450</v>
      </c>
      <c r="F329" s="61" t="s">
        <v>478</v>
      </c>
      <c r="G329" s="61" t="s">
        <v>511</v>
      </c>
      <c r="H329" s="61" t="s">
        <v>441</v>
      </c>
      <c r="I329" s="61" t="s">
        <v>442</v>
      </c>
      <c r="J329" s="61" t="s">
        <v>443</v>
      </c>
      <c r="K329" s="61" t="s">
        <v>443</v>
      </c>
      <c r="L329" s="64">
        <v>0</v>
      </c>
      <c r="M329" s="64">
        <v>29.643999999999998</v>
      </c>
      <c r="N329" s="64">
        <v>38.479999999999997</v>
      </c>
      <c r="O329" s="61" t="s">
        <v>444</v>
      </c>
      <c r="P329" s="64">
        <v>9.1999999999999993</v>
      </c>
      <c r="Q329" s="65">
        <v>184.55</v>
      </c>
      <c r="R329" s="65">
        <v>105.22</v>
      </c>
      <c r="S329" s="65">
        <v>186.78</v>
      </c>
      <c r="T329" s="65">
        <v>0</v>
      </c>
      <c r="U329" s="65">
        <v>476.54</v>
      </c>
    </row>
    <row r="330" spans="1:21" s="61" customFormat="1" hidden="1" x14ac:dyDescent="0.25">
      <c r="A330" s="62">
        <v>458298</v>
      </c>
      <c r="B330" s="61" t="s">
        <v>437</v>
      </c>
      <c r="C330" s="63">
        <v>39525</v>
      </c>
      <c r="D330" s="63">
        <v>39533</v>
      </c>
      <c r="E330" s="61" t="s">
        <v>450</v>
      </c>
      <c r="F330" s="61" t="s">
        <v>478</v>
      </c>
      <c r="G330" s="61" t="s">
        <v>511</v>
      </c>
      <c r="H330" s="61" t="s">
        <v>441</v>
      </c>
      <c r="I330" s="61" t="s">
        <v>442</v>
      </c>
      <c r="J330" s="61" t="s">
        <v>443</v>
      </c>
      <c r="K330" s="61" t="s">
        <v>443</v>
      </c>
      <c r="L330" s="64">
        <v>0</v>
      </c>
      <c r="M330" s="64">
        <v>0</v>
      </c>
      <c r="N330" s="64">
        <v>28.173999999999999</v>
      </c>
      <c r="O330" s="61" t="s">
        <v>444</v>
      </c>
      <c r="P330" s="64">
        <v>29.2</v>
      </c>
      <c r="Q330" s="65">
        <v>731.18</v>
      </c>
      <c r="R330" s="65">
        <v>415.72</v>
      </c>
      <c r="S330" s="65">
        <v>551.80999999999995</v>
      </c>
      <c r="T330" s="65">
        <v>0</v>
      </c>
      <c r="U330" s="65">
        <v>1698.72</v>
      </c>
    </row>
    <row r="331" spans="1:21" s="61" customFormat="1" hidden="1" x14ac:dyDescent="0.25">
      <c r="A331" s="62">
        <v>458298</v>
      </c>
      <c r="B331" s="61" t="s">
        <v>437</v>
      </c>
      <c r="C331" s="63">
        <v>39525</v>
      </c>
      <c r="D331" s="63">
        <v>39533</v>
      </c>
      <c r="E331" s="61" t="s">
        <v>450</v>
      </c>
      <c r="F331" s="61" t="s">
        <v>478</v>
      </c>
      <c r="G331" s="61" t="s">
        <v>511</v>
      </c>
      <c r="H331" s="61" t="s">
        <v>441</v>
      </c>
      <c r="I331" s="61" t="s">
        <v>442</v>
      </c>
      <c r="J331" s="61" t="s">
        <v>443</v>
      </c>
      <c r="K331" s="61" t="s">
        <v>443</v>
      </c>
      <c r="L331" s="64">
        <v>0</v>
      </c>
      <c r="M331" s="64">
        <v>29.643999999999998</v>
      </c>
      <c r="N331" s="64">
        <v>38.479999999999997</v>
      </c>
      <c r="O331" s="61" t="s">
        <v>444</v>
      </c>
      <c r="P331" s="64">
        <v>9.1999999999999993</v>
      </c>
      <c r="Q331" s="65">
        <v>230.37</v>
      </c>
      <c r="R331" s="65">
        <v>130.97999999999999</v>
      </c>
      <c r="S331" s="65">
        <v>173.86</v>
      </c>
      <c r="T331" s="65">
        <v>0</v>
      </c>
      <c r="U331" s="65">
        <v>535.21</v>
      </c>
    </row>
    <row r="332" spans="1:21" s="61" customFormat="1" hidden="1" x14ac:dyDescent="0.25">
      <c r="A332" s="62">
        <v>456566</v>
      </c>
      <c r="B332" s="61" t="s">
        <v>437</v>
      </c>
      <c r="C332" s="63">
        <v>39520</v>
      </c>
      <c r="D332" s="63">
        <v>39525</v>
      </c>
      <c r="E332" s="61" t="s">
        <v>450</v>
      </c>
      <c r="F332" s="61" t="s">
        <v>478</v>
      </c>
      <c r="G332" s="61" t="s">
        <v>511</v>
      </c>
      <c r="H332" s="61" t="s">
        <v>441</v>
      </c>
      <c r="I332" s="61" t="s">
        <v>442</v>
      </c>
      <c r="J332" s="61" t="s">
        <v>443</v>
      </c>
      <c r="K332" s="61" t="s">
        <v>443</v>
      </c>
      <c r="L332" s="64">
        <v>0</v>
      </c>
      <c r="M332" s="64">
        <v>0</v>
      </c>
      <c r="N332" s="64">
        <v>28.173999999999999</v>
      </c>
      <c r="O332" s="61" t="s">
        <v>444</v>
      </c>
      <c r="P332" s="64">
        <v>29.2</v>
      </c>
      <c r="Q332" s="65">
        <v>721.64</v>
      </c>
      <c r="R332" s="65">
        <v>462.35</v>
      </c>
      <c r="S332" s="65">
        <v>339.04</v>
      </c>
      <c r="T332" s="65">
        <v>0</v>
      </c>
      <c r="U332" s="65">
        <v>1523.03</v>
      </c>
    </row>
    <row r="333" spans="1:21" s="61" customFormat="1" hidden="1" x14ac:dyDescent="0.25">
      <c r="A333" s="62">
        <v>456566</v>
      </c>
      <c r="B333" s="61" t="s">
        <v>437</v>
      </c>
      <c r="C333" s="63">
        <v>39520</v>
      </c>
      <c r="D333" s="63">
        <v>39525</v>
      </c>
      <c r="E333" s="61" t="s">
        <v>450</v>
      </c>
      <c r="F333" s="61" t="s">
        <v>478</v>
      </c>
      <c r="G333" s="61" t="s">
        <v>511</v>
      </c>
      <c r="H333" s="61" t="s">
        <v>441</v>
      </c>
      <c r="I333" s="61" t="s">
        <v>442</v>
      </c>
      <c r="J333" s="61" t="s">
        <v>443</v>
      </c>
      <c r="K333" s="61" t="s">
        <v>443</v>
      </c>
      <c r="L333" s="64">
        <v>0</v>
      </c>
      <c r="M333" s="64">
        <v>29.643999999999998</v>
      </c>
      <c r="N333" s="64">
        <v>38.479999999999997</v>
      </c>
      <c r="O333" s="61" t="s">
        <v>444</v>
      </c>
      <c r="P333" s="64">
        <v>9.1999999999999993</v>
      </c>
      <c r="Q333" s="65">
        <v>227.37</v>
      </c>
      <c r="R333" s="65">
        <v>145.66999999999999</v>
      </c>
      <c r="S333" s="65">
        <v>106.82</v>
      </c>
      <c r="T333" s="65">
        <v>0</v>
      </c>
      <c r="U333" s="65">
        <v>479.86</v>
      </c>
    </row>
    <row r="334" spans="1:21" s="61" customFormat="1" hidden="1" x14ac:dyDescent="0.25">
      <c r="A334" s="62">
        <v>456436</v>
      </c>
      <c r="B334" s="61" t="s">
        <v>445</v>
      </c>
      <c r="C334" s="63">
        <v>39519</v>
      </c>
      <c r="D334" s="63">
        <v>39519.333333333336</v>
      </c>
      <c r="E334" s="61" t="s">
        <v>446</v>
      </c>
      <c r="F334" s="61" t="s">
        <v>452</v>
      </c>
      <c r="G334" s="61" t="s">
        <v>511</v>
      </c>
      <c r="H334" s="61" t="s">
        <v>441</v>
      </c>
      <c r="I334" s="61" t="s">
        <v>442</v>
      </c>
      <c r="J334" s="61" t="s">
        <v>443</v>
      </c>
      <c r="K334" s="61" t="s">
        <v>443</v>
      </c>
      <c r="L334" s="64">
        <v>0</v>
      </c>
      <c r="M334" s="64">
        <v>0</v>
      </c>
      <c r="N334" s="64">
        <v>28.173999999999999</v>
      </c>
      <c r="O334" s="61" t="s">
        <v>444</v>
      </c>
      <c r="P334" s="64">
        <v>20.81</v>
      </c>
      <c r="Q334" s="65">
        <v>149.15</v>
      </c>
      <c r="R334" s="65">
        <v>83.48</v>
      </c>
      <c r="S334" s="65">
        <v>0</v>
      </c>
      <c r="T334" s="65">
        <v>0</v>
      </c>
      <c r="U334" s="65">
        <v>232.64</v>
      </c>
    </row>
    <row r="335" spans="1:21" s="61" customFormat="1" hidden="1" x14ac:dyDescent="0.25">
      <c r="A335" s="62">
        <v>456436</v>
      </c>
      <c r="B335" s="61" t="s">
        <v>445</v>
      </c>
      <c r="C335" s="63">
        <v>39519</v>
      </c>
      <c r="D335" s="63">
        <v>39519.333333333336</v>
      </c>
      <c r="E335" s="61" t="s">
        <v>446</v>
      </c>
      <c r="F335" s="61" t="s">
        <v>452</v>
      </c>
      <c r="G335" s="61" t="s">
        <v>511</v>
      </c>
      <c r="H335" s="61" t="s">
        <v>441</v>
      </c>
      <c r="I335" s="61" t="s">
        <v>442</v>
      </c>
      <c r="J335" s="61" t="s">
        <v>443</v>
      </c>
      <c r="K335" s="61" t="s">
        <v>443</v>
      </c>
      <c r="L335" s="64">
        <v>0</v>
      </c>
      <c r="M335" s="64">
        <v>29.643999999999998</v>
      </c>
      <c r="N335" s="64">
        <v>38.479999999999997</v>
      </c>
      <c r="O335" s="61" t="s">
        <v>444</v>
      </c>
      <c r="P335" s="64">
        <v>6.56</v>
      </c>
      <c r="Q335" s="65">
        <v>46.99</v>
      </c>
      <c r="R335" s="65">
        <v>26.3</v>
      </c>
      <c r="S335" s="65">
        <v>0</v>
      </c>
      <c r="T335" s="65">
        <v>0</v>
      </c>
      <c r="U335" s="65">
        <v>73.3</v>
      </c>
    </row>
    <row r="336" spans="1:21" s="61" customFormat="1" hidden="1" x14ac:dyDescent="0.25">
      <c r="A336" s="62">
        <v>455917</v>
      </c>
      <c r="B336" s="61" t="s">
        <v>437</v>
      </c>
      <c r="C336" s="63">
        <v>39519</v>
      </c>
      <c r="D336" s="63">
        <v>39521</v>
      </c>
      <c r="E336" s="61" t="s">
        <v>450</v>
      </c>
      <c r="F336" s="61" t="s">
        <v>504</v>
      </c>
      <c r="G336" s="61" t="s">
        <v>511</v>
      </c>
      <c r="H336" s="61" t="s">
        <v>441</v>
      </c>
      <c r="I336" s="61" t="s">
        <v>442</v>
      </c>
      <c r="J336" s="61" t="s">
        <v>443</v>
      </c>
      <c r="K336" s="61" t="s">
        <v>443</v>
      </c>
      <c r="L336" s="64">
        <v>0</v>
      </c>
      <c r="M336" s="64">
        <v>0</v>
      </c>
      <c r="N336" s="64">
        <v>28.173999999999999</v>
      </c>
      <c r="O336" s="61" t="s">
        <v>444</v>
      </c>
      <c r="P336" s="64">
        <v>1.46</v>
      </c>
      <c r="Q336" s="65">
        <v>2092.46</v>
      </c>
      <c r="R336" s="65">
        <v>1234.5899999999999</v>
      </c>
      <c r="S336" s="65">
        <v>0</v>
      </c>
      <c r="T336" s="65">
        <v>0</v>
      </c>
      <c r="U336" s="65">
        <v>3327.05</v>
      </c>
    </row>
    <row r="337" spans="1:21" s="61" customFormat="1" hidden="1" x14ac:dyDescent="0.25">
      <c r="A337" s="62">
        <v>455917</v>
      </c>
      <c r="B337" s="61" t="s">
        <v>437</v>
      </c>
      <c r="C337" s="63">
        <v>39519</v>
      </c>
      <c r="D337" s="63">
        <v>39521</v>
      </c>
      <c r="E337" s="61" t="s">
        <v>450</v>
      </c>
      <c r="F337" s="61" t="s">
        <v>504</v>
      </c>
      <c r="G337" s="61" t="s">
        <v>511</v>
      </c>
      <c r="H337" s="61" t="s">
        <v>441</v>
      </c>
      <c r="I337" s="61" t="s">
        <v>442</v>
      </c>
      <c r="J337" s="61" t="s">
        <v>443</v>
      </c>
      <c r="K337" s="61" t="s">
        <v>443</v>
      </c>
      <c r="L337" s="64">
        <v>0</v>
      </c>
      <c r="M337" s="64">
        <v>29.643999999999998</v>
      </c>
      <c r="N337" s="64">
        <v>38.479999999999997</v>
      </c>
      <c r="O337" s="61" t="s">
        <v>444</v>
      </c>
      <c r="P337" s="64">
        <v>0.46</v>
      </c>
      <c r="Q337" s="65">
        <v>659.27</v>
      </c>
      <c r="R337" s="65">
        <v>388.98</v>
      </c>
      <c r="S337" s="65">
        <v>0</v>
      </c>
      <c r="T337" s="65">
        <v>0</v>
      </c>
      <c r="U337" s="65">
        <v>1048.25</v>
      </c>
    </row>
    <row r="338" spans="1:21" s="61" customFormat="1" hidden="1" x14ac:dyDescent="0.25">
      <c r="A338" s="62">
        <v>455892</v>
      </c>
      <c r="B338" s="61" t="s">
        <v>437</v>
      </c>
      <c r="C338" s="63">
        <v>39518</v>
      </c>
      <c r="D338" s="63">
        <v>39521</v>
      </c>
      <c r="E338" s="61" t="s">
        <v>450</v>
      </c>
      <c r="F338" s="61" t="s">
        <v>478</v>
      </c>
      <c r="G338" s="61" t="s">
        <v>511</v>
      </c>
      <c r="H338" s="61" t="s">
        <v>441</v>
      </c>
      <c r="I338" s="61" t="s">
        <v>442</v>
      </c>
      <c r="J338" s="61" t="s">
        <v>443</v>
      </c>
      <c r="K338" s="61" t="s">
        <v>443</v>
      </c>
      <c r="L338" s="64">
        <v>0</v>
      </c>
      <c r="M338" s="64">
        <v>0</v>
      </c>
      <c r="N338" s="64">
        <v>28.173999999999999</v>
      </c>
      <c r="O338" s="61" t="s">
        <v>444</v>
      </c>
      <c r="P338" s="64">
        <v>36.5</v>
      </c>
      <c r="Q338" s="65">
        <v>721.64</v>
      </c>
      <c r="R338" s="65">
        <v>396.28</v>
      </c>
      <c r="S338" s="65">
        <v>359.69</v>
      </c>
      <c r="T338" s="65">
        <v>0</v>
      </c>
      <c r="U338" s="65">
        <v>1477.61</v>
      </c>
    </row>
    <row r="339" spans="1:21" s="61" customFormat="1" hidden="1" x14ac:dyDescent="0.25">
      <c r="A339" s="62">
        <v>455892</v>
      </c>
      <c r="B339" s="61" t="s">
        <v>437</v>
      </c>
      <c r="C339" s="63">
        <v>39518</v>
      </c>
      <c r="D339" s="63">
        <v>39521</v>
      </c>
      <c r="E339" s="61" t="s">
        <v>450</v>
      </c>
      <c r="F339" s="61" t="s">
        <v>478</v>
      </c>
      <c r="G339" s="61" t="s">
        <v>511</v>
      </c>
      <c r="H339" s="61" t="s">
        <v>441</v>
      </c>
      <c r="I339" s="61" t="s">
        <v>442</v>
      </c>
      <c r="J339" s="61" t="s">
        <v>443</v>
      </c>
      <c r="K339" s="61" t="s">
        <v>443</v>
      </c>
      <c r="L339" s="64">
        <v>0</v>
      </c>
      <c r="M339" s="64">
        <v>29.643999999999998</v>
      </c>
      <c r="N339" s="64">
        <v>38.479999999999997</v>
      </c>
      <c r="O339" s="61" t="s">
        <v>444</v>
      </c>
      <c r="P339" s="64">
        <v>11.5</v>
      </c>
      <c r="Q339" s="65">
        <v>227.37</v>
      </c>
      <c r="R339" s="65">
        <v>124.86</v>
      </c>
      <c r="S339" s="65">
        <v>113.33</v>
      </c>
      <c r="T339" s="65">
        <v>0</v>
      </c>
      <c r="U339" s="65">
        <v>465.55</v>
      </c>
    </row>
    <row r="340" spans="1:21" s="61" customFormat="1" hidden="1" x14ac:dyDescent="0.25">
      <c r="A340" s="62">
        <v>455239</v>
      </c>
      <c r="B340" s="61" t="s">
        <v>437</v>
      </c>
      <c r="C340" s="63">
        <v>39517</v>
      </c>
      <c r="D340" s="63">
        <v>39525</v>
      </c>
      <c r="E340" s="61" t="s">
        <v>450</v>
      </c>
      <c r="F340" s="61" t="s">
        <v>478</v>
      </c>
      <c r="G340" s="61" t="s">
        <v>511</v>
      </c>
      <c r="H340" s="61" t="s">
        <v>441</v>
      </c>
      <c r="I340" s="61" t="s">
        <v>442</v>
      </c>
      <c r="J340" s="61" t="s">
        <v>443</v>
      </c>
      <c r="K340" s="61" t="s">
        <v>443</v>
      </c>
      <c r="L340" s="64">
        <v>0</v>
      </c>
      <c r="M340" s="64">
        <v>0</v>
      </c>
      <c r="N340" s="64">
        <v>28.173999999999999</v>
      </c>
      <c r="O340" s="61" t="s">
        <v>444</v>
      </c>
      <c r="P340" s="64">
        <v>32.85</v>
      </c>
      <c r="Q340" s="65">
        <v>721.64</v>
      </c>
      <c r="R340" s="65">
        <v>418.44</v>
      </c>
      <c r="S340" s="65">
        <v>408.33</v>
      </c>
      <c r="T340" s="65">
        <v>0</v>
      </c>
      <c r="U340" s="65">
        <v>1548.41</v>
      </c>
    </row>
    <row r="341" spans="1:21" s="61" customFormat="1" hidden="1" x14ac:dyDescent="0.25">
      <c r="A341" s="62">
        <v>455239</v>
      </c>
      <c r="B341" s="61" t="s">
        <v>437</v>
      </c>
      <c r="C341" s="63">
        <v>39517</v>
      </c>
      <c r="D341" s="63">
        <v>39525</v>
      </c>
      <c r="E341" s="61" t="s">
        <v>450</v>
      </c>
      <c r="F341" s="61" t="s">
        <v>478</v>
      </c>
      <c r="G341" s="61" t="s">
        <v>511</v>
      </c>
      <c r="H341" s="61" t="s">
        <v>441</v>
      </c>
      <c r="I341" s="61" t="s">
        <v>442</v>
      </c>
      <c r="J341" s="61" t="s">
        <v>443</v>
      </c>
      <c r="K341" s="61" t="s">
        <v>443</v>
      </c>
      <c r="L341" s="64">
        <v>0</v>
      </c>
      <c r="M341" s="64">
        <v>29.643999999999998</v>
      </c>
      <c r="N341" s="64">
        <v>38.479999999999997</v>
      </c>
      <c r="O341" s="61" t="s">
        <v>444</v>
      </c>
      <c r="P341" s="64">
        <v>10.35</v>
      </c>
      <c r="Q341" s="65">
        <v>227.37</v>
      </c>
      <c r="R341" s="65">
        <v>131.84</v>
      </c>
      <c r="S341" s="65">
        <v>128.65</v>
      </c>
      <c r="T341" s="65">
        <v>0</v>
      </c>
      <c r="U341" s="65">
        <v>487.86</v>
      </c>
    </row>
    <row r="342" spans="1:21" s="61" customFormat="1" hidden="1" x14ac:dyDescent="0.25">
      <c r="A342" s="62">
        <v>454608</v>
      </c>
      <c r="B342" s="61" t="s">
        <v>437</v>
      </c>
      <c r="C342" s="63">
        <v>39513</v>
      </c>
      <c r="D342" s="63">
        <v>39518</v>
      </c>
      <c r="E342" s="61" t="s">
        <v>450</v>
      </c>
      <c r="F342" s="61" t="s">
        <v>478</v>
      </c>
      <c r="G342" s="61" t="s">
        <v>511</v>
      </c>
      <c r="H342" s="61" t="s">
        <v>441</v>
      </c>
      <c r="I342" s="61" t="s">
        <v>442</v>
      </c>
      <c r="J342" s="61" t="s">
        <v>443</v>
      </c>
      <c r="K342" s="61" t="s">
        <v>443</v>
      </c>
      <c r="L342" s="64">
        <v>0</v>
      </c>
      <c r="M342" s="64">
        <v>0</v>
      </c>
      <c r="N342" s="64">
        <v>28.173999999999999</v>
      </c>
      <c r="O342" s="61" t="s">
        <v>444</v>
      </c>
      <c r="P342" s="64">
        <v>29.2</v>
      </c>
      <c r="Q342" s="65">
        <v>721.64</v>
      </c>
      <c r="R342" s="65">
        <v>189.87</v>
      </c>
      <c r="S342" s="65">
        <v>379.41</v>
      </c>
      <c r="T342" s="65">
        <v>0</v>
      </c>
      <c r="U342" s="65">
        <v>1290.92</v>
      </c>
    </row>
    <row r="343" spans="1:21" s="61" customFormat="1" hidden="1" x14ac:dyDescent="0.25">
      <c r="A343" s="62">
        <v>454608</v>
      </c>
      <c r="B343" s="61" t="s">
        <v>437</v>
      </c>
      <c r="C343" s="63">
        <v>39513</v>
      </c>
      <c r="D343" s="63">
        <v>39518</v>
      </c>
      <c r="E343" s="61" t="s">
        <v>450</v>
      </c>
      <c r="F343" s="61" t="s">
        <v>478</v>
      </c>
      <c r="G343" s="61" t="s">
        <v>511</v>
      </c>
      <c r="H343" s="61" t="s">
        <v>441</v>
      </c>
      <c r="I343" s="61" t="s">
        <v>442</v>
      </c>
      <c r="J343" s="61" t="s">
        <v>443</v>
      </c>
      <c r="K343" s="61" t="s">
        <v>443</v>
      </c>
      <c r="L343" s="64">
        <v>0</v>
      </c>
      <c r="M343" s="64">
        <v>29.643999999999998</v>
      </c>
      <c r="N343" s="64">
        <v>38.479999999999997</v>
      </c>
      <c r="O343" s="61" t="s">
        <v>444</v>
      </c>
      <c r="P343" s="64">
        <v>9.1999999999999993</v>
      </c>
      <c r="Q343" s="65">
        <v>227.37</v>
      </c>
      <c r="R343" s="65">
        <v>59.82</v>
      </c>
      <c r="S343" s="65">
        <v>119.54</v>
      </c>
      <c r="T343" s="65">
        <v>0</v>
      </c>
      <c r="U343" s="65">
        <v>406.73</v>
      </c>
    </row>
    <row r="344" spans="1:21" s="61" customFormat="1" hidden="1" x14ac:dyDescent="0.25">
      <c r="A344" s="62">
        <v>450225</v>
      </c>
      <c r="B344" s="61" t="s">
        <v>437</v>
      </c>
      <c r="C344" s="63">
        <v>39499</v>
      </c>
      <c r="D344" s="63">
        <v>39505</v>
      </c>
      <c r="E344" s="61" t="s">
        <v>450</v>
      </c>
      <c r="F344" s="61" t="s">
        <v>478</v>
      </c>
      <c r="G344" s="61" t="s">
        <v>511</v>
      </c>
      <c r="H344" s="61" t="s">
        <v>441</v>
      </c>
      <c r="I344" s="61" t="s">
        <v>442</v>
      </c>
      <c r="J344" s="61" t="s">
        <v>443</v>
      </c>
      <c r="K344" s="61" t="s">
        <v>443</v>
      </c>
      <c r="L344" s="64">
        <v>0</v>
      </c>
      <c r="M344" s="64">
        <v>0</v>
      </c>
      <c r="N344" s="64">
        <v>28.173999999999999</v>
      </c>
      <c r="O344" s="61" t="s">
        <v>444</v>
      </c>
      <c r="P344" s="64">
        <v>29.2</v>
      </c>
      <c r="Q344" s="65">
        <v>1293.8800000000001</v>
      </c>
      <c r="R344" s="65">
        <v>404.24</v>
      </c>
      <c r="S344" s="65">
        <v>342.07</v>
      </c>
      <c r="T344" s="65">
        <v>0</v>
      </c>
      <c r="U344" s="65">
        <v>2040.2</v>
      </c>
    </row>
    <row r="345" spans="1:21" s="61" customFormat="1" hidden="1" x14ac:dyDescent="0.25">
      <c r="A345" s="62">
        <v>450225</v>
      </c>
      <c r="B345" s="61" t="s">
        <v>437</v>
      </c>
      <c r="C345" s="63">
        <v>39499</v>
      </c>
      <c r="D345" s="63">
        <v>39505</v>
      </c>
      <c r="E345" s="61" t="s">
        <v>450</v>
      </c>
      <c r="F345" s="61" t="s">
        <v>478</v>
      </c>
      <c r="G345" s="61" t="s">
        <v>511</v>
      </c>
      <c r="H345" s="61" t="s">
        <v>441</v>
      </c>
      <c r="I345" s="61" t="s">
        <v>442</v>
      </c>
      <c r="J345" s="61" t="s">
        <v>443</v>
      </c>
      <c r="K345" s="61" t="s">
        <v>443</v>
      </c>
      <c r="L345" s="64">
        <v>0</v>
      </c>
      <c r="M345" s="64">
        <v>29.643999999999998</v>
      </c>
      <c r="N345" s="64">
        <v>38.479999999999997</v>
      </c>
      <c r="O345" s="61" t="s">
        <v>444</v>
      </c>
      <c r="P345" s="64">
        <v>9.1999999999999993</v>
      </c>
      <c r="Q345" s="65">
        <v>407.66</v>
      </c>
      <c r="R345" s="65">
        <v>127.36</v>
      </c>
      <c r="S345" s="65">
        <v>107.78</v>
      </c>
      <c r="T345" s="65">
        <v>0</v>
      </c>
      <c r="U345" s="65">
        <v>642.79999999999995</v>
      </c>
    </row>
    <row r="346" spans="1:21" s="61" customFormat="1" hidden="1" x14ac:dyDescent="0.25">
      <c r="A346" s="62">
        <v>449393</v>
      </c>
      <c r="B346" s="61" t="s">
        <v>437</v>
      </c>
      <c r="C346" s="63">
        <v>39498</v>
      </c>
      <c r="D346" s="63">
        <v>39505</v>
      </c>
      <c r="E346" s="61" t="s">
        <v>450</v>
      </c>
      <c r="F346" s="61" t="s">
        <v>478</v>
      </c>
      <c r="G346" s="61" t="s">
        <v>511</v>
      </c>
      <c r="H346" s="61" t="s">
        <v>441</v>
      </c>
      <c r="I346" s="61" t="s">
        <v>442</v>
      </c>
      <c r="J346" s="61" t="s">
        <v>443</v>
      </c>
      <c r="K346" s="61" t="s">
        <v>443</v>
      </c>
      <c r="L346" s="64">
        <v>0</v>
      </c>
      <c r="M346" s="64">
        <v>0</v>
      </c>
      <c r="N346" s="64">
        <v>28.173999999999999</v>
      </c>
      <c r="O346" s="61" t="s">
        <v>444</v>
      </c>
      <c r="P346" s="64">
        <v>29.2</v>
      </c>
      <c r="Q346" s="65">
        <v>442.53</v>
      </c>
      <c r="R346" s="65">
        <v>202.12</v>
      </c>
      <c r="S346" s="65">
        <v>443.42</v>
      </c>
      <c r="T346" s="65">
        <v>0</v>
      </c>
      <c r="U346" s="65">
        <v>1088.07</v>
      </c>
    </row>
    <row r="347" spans="1:21" s="61" customFormat="1" hidden="1" x14ac:dyDescent="0.25">
      <c r="A347" s="62">
        <v>449393</v>
      </c>
      <c r="B347" s="61" t="s">
        <v>437</v>
      </c>
      <c r="C347" s="63">
        <v>39498</v>
      </c>
      <c r="D347" s="63">
        <v>39505</v>
      </c>
      <c r="E347" s="61" t="s">
        <v>450</v>
      </c>
      <c r="F347" s="61" t="s">
        <v>478</v>
      </c>
      <c r="G347" s="61" t="s">
        <v>511</v>
      </c>
      <c r="H347" s="61" t="s">
        <v>441</v>
      </c>
      <c r="I347" s="61" t="s">
        <v>442</v>
      </c>
      <c r="J347" s="61" t="s">
        <v>443</v>
      </c>
      <c r="K347" s="61" t="s">
        <v>443</v>
      </c>
      <c r="L347" s="64">
        <v>0</v>
      </c>
      <c r="M347" s="64">
        <v>29.643999999999998</v>
      </c>
      <c r="N347" s="64">
        <v>38.479999999999997</v>
      </c>
      <c r="O347" s="61" t="s">
        <v>444</v>
      </c>
      <c r="P347" s="64">
        <v>9.1999999999999993</v>
      </c>
      <c r="Q347" s="65">
        <v>139.43</v>
      </c>
      <c r="R347" s="65">
        <v>63.68</v>
      </c>
      <c r="S347" s="65">
        <v>139.71</v>
      </c>
      <c r="T347" s="65">
        <v>0</v>
      </c>
      <c r="U347" s="65">
        <v>342.82</v>
      </c>
    </row>
    <row r="348" spans="1:21" s="61" customFormat="1" hidden="1" x14ac:dyDescent="0.25">
      <c r="A348" s="62">
        <v>449367</v>
      </c>
      <c r="B348" s="61" t="s">
        <v>437</v>
      </c>
      <c r="C348" s="63">
        <v>39498</v>
      </c>
      <c r="D348" s="63">
        <v>39504</v>
      </c>
      <c r="E348" s="61" t="s">
        <v>450</v>
      </c>
      <c r="F348" s="61" t="s">
        <v>478</v>
      </c>
      <c r="G348" s="61" t="s">
        <v>511</v>
      </c>
      <c r="H348" s="61" t="s">
        <v>441</v>
      </c>
      <c r="I348" s="61" t="s">
        <v>442</v>
      </c>
      <c r="J348" s="61" t="s">
        <v>443</v>
      </c>
      <c r="K348" s="61" t="s">
        <v>443</v>
      </c>
      <c r="L348" s="64">
        <v>0</v>
      </c>
      <c r="M348" s="64">
        <v>0</v>
      </c>
      <c r="N348" s="64">
        <v>28.173999999999999</v>
      </c>
      <c r="O348" s="61" t="s">
        <v>444</v>
      </c>
      <c r="P348" s="64">
        <v>36.5</v>
      </c>
      <c r="Q348" s="65">
        <v>577.30999999999995</v>
      </c>
      <c r="R348" s="65">
        <v>202.12</v>
      </c>
      <c r="S348" s="65">
        <v>353.2</v>
      </c>
      <c r="T348" s="65">
        <v>0</v>
      </c>
      <c r="U348" s="65">
        <v>1132.6300000000001</v>
      </c>
    </row>
    <row r="349" spans="1:21" s="61" customFormat="1" hidden="1" x14ac:dyDescent="0.25">
      <c r="A349" s="62">
        <v>449367</v>
      </c>
      <c r="B349" s="61" t="s">
        <v>437</v>
      </c>
      <c r="C349" s="63">
        <v>39498</v>
      </c>
      <c r="D349" s="63">
        <v>39504</v>
      </c>
      <c r="E349" s="61" t="s">
        <v>450</v>
      </c>
      <c r="F349" s="61" t="s">
        <v>478</v>
      </c>
      <c r="G349" s="61" t="s">
        <v>511</v>
      </c>
      <c r="H349" s="61" t="s">
        <v>441</v>
      </c>
      <c r="I349" s="61" t="s">
        <v>442</v>
      </c>
      <c r="J349" s="61" t="s">
        <v>443</v>
      </c>
      <c r="K349" s="61" t="s">
        <v>443</v>
      </c>
      <c r="L349" s="64">
        <v>0</v>
      </c>
      <c r="M349" s="64">
        <v>29.643999999999998</v>
      </c>
      <c r="N349" s="64">
        <v>38.479999999999997</v>
      </c>
      <c r="O349" s="61" t="s">
        <v>444</v>
      </c>
      <c r="P349" s="64">
        <v>11.5</v>
      </c>
      <c r="Q349" s="65">
        <v>181.89</v>
      </c>
      <c r="R349" s="65">
        <v>63.68</v>
      </c>
      <c r="S349" s="65">
        <v>111.28</v>
      </c>
      <c r="T349" s="65">
        <v>0</v>
      </c>
      <c r="U349" s="65">
        <v>356.86</v>
      </c>
    </row>
    <row r="350" spans="1:21" s="61" customFormat="1" hidden="1" x14ac:dyDescent="0.25">
      <c r="A350" s="62">
        <v>449353</v>
      </c>
      <c r="B350" s="61" t="s">
        <v>437</v>
      </c>
      <c r="C350" s="63">
        <v>39497</v>
      </c>
      <c r="D350" s="63">
        <v>39505</v>
      </c>
      <c r="E350" s="61" t="s">
        <v>450</v>
      </c>
      <c r="F350" s="61" t="s">
        <v>478</v>
      </c>
      <c r="G350" s="61" t="s">
        <v>511</v>
      </c>
      <c r="H350" s="61" t="s">
        <v>441</v>
      </c>
      <c r="I350" s="61" t="s">
        <v>442</v>
      </c>
      <c r="J350" s="61" t="s">
        <v>443</v>
      </c>
      <c r="K350" s="61" t="s">
        <v>443</v>
      </c>
      <c r="L350" s="64">
        <v>0</v>
      </c>
      <c r="M350" s="64">
        <v>0</v>
      </c>
      <c r="N350" s="64">
        <v>28.173999999999999</v>
      </c>
      <c r="O350" s="61" t="s">
        <v>444</v>
      </c>
      <c r="P350" s="64">
        <v>36.5</v>
      </c>
      <c r="Q350" s="65">
        <v>826.08</v>
      </c>
      <c r="R350" s="65">
        <v>404.24</v>
      </c>
      <c r="S350" s="65">
        <v>423.87</v>
      </c>
      <c r="T350" s="65">
        <v>0</v>
      </c>
      <c r="U350" s="65">
        <v>1654.19</v>
      </c>
    </row>
    <row r="351" spans="1:21" s="61" customFormat="1" hidden="1" x14ac:dyDescent="0.25">
      <c r="A351" s="62">
        <v>449353</v>
      </c>
      <c r="B351" s="61" t="s">
        <v>437</v>
      </c>
      <c r="C351" s="63">
        <v>39497</v>
      </c>
      <c r="D351" s="63">
        <v>39505</v>
      </c>
      <c r="E351" s="61" t="s">
        <v>450</v>
      </c>
      <c r="F351" s="61" t="s">
        <v>478</v>
      </c>
      <c r="G351" s="61" t="s">
        <v>511</v>
      </c>
      <c r="H351" s="61" t="s">
        <v>441</v>
      </c>
      <c r="I351" s="61" t="s">
        <v>442</v>
      </c>
      <c r="J351" s="61" t="s">
        <v>443</v>
      </c>
      <c r="K351" s="61" t="s">
        <v>443</v>
      </c>
      <c r="L351" s="64">
        <v>0</v>
      </c>
      <c r="M351" s="64">
        <v>29.643999999999998</v>
      </c>
      <c r="N351" s="64">
        <v>38.479999999999997</v>
      </c>
      <c r="O351" s="61" t="s">
        <v>444</v>
      </c>
      <c r="P351" s="64">
        <v>11.5</v>
      </c>
      <c r="Q351" s="65">
        <v>260.27</v>
      </c>
      <c r="R351" s="65">
        <v>127.36</v>
      </c>
      <c r="S351" s="65">
        <v>133.55000000000001</v>
      </c>
      <c r="T351" s="65">
        <v>0</v>
      </c>
      <c r="U351" s="65">
        <v>521.17999999999995</v>
      </c>
    </row>
    <row r="352" spans="1:21" s="61" customFormat="1" hidden="1" x14ac:dyDescent="0.25">
      <c r="A352" s="62">
        <v>446014</v>
      </c>
      <c r="B352" s="61" t="s">
        <v>437</v>
      </c>
      <c r="C352" s="63">
        <v>39484</v>
      </c>
      <c r="D352" s="63">
        <v>39484.333333333336</v>
      </c>
      <c r="E352" s="61" t="s">
        <v>450</v>
      </c>
      <c r="F352" s="61" t="s">
        <v>503</v>
      </c>
      <c r="G352" s="61" t="s">
        <v>511</v>
      </c>
      <c r="H352" s="61" t="s">
        <v>441</v>
      </c>
      <c r="I352" s="61" t="s">
        <v>442</v>
      </c>
      <c r="J352" s="61" t="s">
        <v>443</v>
      </c>
      <c r="K352" s="61" t="s">
        <v>443</v>
      </c>
      <c r="L352" s="64">
        <v>0</v>
      </c>
      <c r="M352" s="64">
        <v>0</v>
      </c>
      <c r="N352" s="64">
        <v>28.173999999999999</v>
      </c>
      <c r="O352" s="61" t="s">
        <v>444</v>
      </c>
      <c r="P352" s="64">
        <v>39.42</v>
      </c>
      <c r="Q352" s="65">
        <v>909.81</v>
      </c>
      <c r="R352" s="65">
        <v>0</v>
      </c>
      <c r="S352" s="65">
        <v>0</v>
      </c>
      <c r="T352" s="65">
        <v>0</v>
      </c>
      <c r="U352" s="65">
        <v>909.81</v>
      </c>
    </row>
    <row r="353" spans="1:21" s="61" customFormat="1" hidden="1" x14ac:dyDescent="0.25">
      <c r="A353" s="62">
        <v>446014</v>
      </c>
      <c r="B353" s="61" t="s">
        <v>437</v>
      </c>
      <c r="C353" s="63">
        <v>39484</v>
      </c>
      <c r="D353" s="63">
        <v>39484.333333333336</v>
      </c>
      <c r="E353" s="61" t="s">
        <v>450</v>
      </c>
      <c r="F353" s="61" t="s">
        <v>503</v>
      </c>
      <c r="G353" s="61" t="s">
        <v>511</v>
      </c>
      <c r="H353" s="61" t="s">
        <v>441</v>
      </c>
      <c r="I353" s="61" t="s">
        <v>442</v>
      </c>
      <c r="J353" s="61" t="s">
        <v>443</v>
      </c>
      <c r="K353" s="61" t="s">
        <v>443</v>
      </c>
      <c r="L353" s="64">
        <v>0</v>
      </c>
      <c r="M353" s="64">
        <v>29.643999999999998</v>
      </c>
      <c r="N353" s="64">
        <v>38.479999999999997</v>
      </c>
      <c r="O353" s="61" t="s">
        <v>444</v>
      </c>
      <c r="P353" s="64">
        <v>12.42</v>
      </c>
      <c r="Q353" s="65">
        <v>286.64999999999998</v>
      </c>
      <c r="R353" s="65">
        <v>0</v>
      </c>
      <c r="S353" s="65">
        <v>0</v>
      </c>
      <c r="T353" s="65">
        <v>0</v>
      </c>
      <c r="U353" s="65">
        <v>286.64999999999998</v>
      </c>
    </row>
    <row r="354" spans="1:21" s="61" customFormat="1" hidden="1" x14ac:dyDescent="0.25">
      <c r="A354" s="62">
        <v>444684</v>
      </c>
      <c r="B354" s="61" t="s">
        <v>445</v>
      </c>
      <c r="C354" s="63">
        <v>39478</v>
      </c>
      <c r="D354" s="63">
        <v>39478.333333333336</v>
      </c>
      <c r="E354" s="61" t="s">
        <v>446</v>
      </c>
      <c r="F354" s="61" t="s">
        <v>452</v>
      </c>
      <c r="G354" s="61" t="s">
        <v>511</v>
      </c>
      <c r="H354" s="61" t="s">
        <v>441</v>
      </c>
      <c r="I354" s="61" t="s">
        <v>442</v>
      </c>
      <c r="J354" s="61" t="s">
        <v>443</v>
      </c>
      <c r="K354" s="61" t="s">
        <v>443</v>
      </c>
      <c r="L354" s="64">
        <v>0</v>
      </c>
      <c r="M354" s="64">
        <v>0</v>
      </c>
      <c r="N354" s="64">
        <v>28.173999999999999</v>
      </c>
      <c r="O354" s="61" t="s">
        <v>444</v>
      </c>
      <c r="P354" s="64">
        <v>4.5599999999999996</v>
      </c>
      <c r="Q354" s="65">
        <v>37.29</v>
      </c>
      <c r="R354" s="65">
        <v>20.87</v>
      </c>
      <c r="S354" s="65">
        <v>0</v>
      </c>
      <c r="T354" s="65">
        <v>0</v>
      </c>
      <c r="U354" s="65">
        <v>58.16</v>
      </c>
    </row>
    <row r="355" spans="1:21" s="61" customFormat="1" hidden="1" x14ac:dyDescent="0.25">
      <c r="A355" s="62">
        <v>444684</v>
      </c>
      <c r="B355" s="61" t="s">
        <v>445</v>
      </c>
      <c r="C355" s="63">
        <v>39478</v>
      </c>
      <c r="D355" s="63">
        <v>39478.333333333336</v>
      </c>
      <c r="E355" s="61" t="s">
        <v>446</v>
      </c>
      <c r="F355" s="61" t="s">
        <v>452</v>
      </c>
      <c r="G355" s="61" t="s">
        <v>511</v>
      </c>
      <c r="H355" s="61" t="s">
        <v>441</v>
      </c>
      <c r="I355" s="61" t="s">
        <v>442</v>
      </c>
      <c r="J355" s="61" t="s">
        <v>443</v>
      </c>
      <c r="K355" s="61" t="s">
        <v>443</v>
      </c>
      <c r="L355" s="64">
        <v>0</v>
      </c>
      <c r="M355" s="64">
        <v>29.643999999999998</v>
      </c>
      <c r="N355" s="64">
        <v>38.479999999999997</v>
      </c>
      <c r="O355" s="61" t="s">
        <v>444</v>
      </c>
      <c r="P355" s="64">
        <v>1.44</v>
      </c>
      <c r="Q355" s="65">
        <v>11.75</v>
      </c>
      <c r="R355" s="65">
        <v>6.58</v>
      </c>
      <c r="S355" s="65">
        <v>0</v>
      </c>
      <c r="T355" s="65">
        <v>0</v>
      </c>
      <c r="U355" s="65">
        <v>18.32</v>
      </c>
    </row>
    <row r="356" spans="1:21" s="61" customFormat="1" hidden="1" x14ac:dyDescent="0.25">
      <c r="A356" s="62">
        <v>444683</v>
      </c>
      <c r="B356" s="61" t="s">
        <v>445</v>
      </c>
      <c r="C356" s="63">
        <v>39478</v>
      </c>
      <c r="D356" s="63">
        <v>39478.333333333336</v>
      </c>
      <c r="E356" s="61" t="s">
        <v>446</v>
      </c>
      <c r="F356" s="61" t="s">
        <v>452</v>
      </c>
      <c r="G356" s="61" t="s">
        <v>511</v>
      </c>
      <c r="H356" s="61" t="s">
        <v>441</v>
      </c>
      <c r="I356" s="61" t="s">
        <v>442</v>
      </c>
      <c r="J356" s="61" t="s">
        <v>443</v>
      </c>
      <c r="K356" s="61" t="s">
        <v>443</v>
      </c>
      <c r="L356" s="64">
        <v>0</v>
      </c>
      <c r="M356" s="64">
        <v>0</v>
      </c>
      <c r="N356" s="64">
        <v>28.173999999999999</v>
      </c>
      <c r="O356" s="61" t="s">
        <v>444</v>
      </c>
      <c r="P356" s="64">
        <v>4.5599999999999996</v>
      </c>
      <c r="Q356" s="65">
        <v>74.58</v>
      </c>
      <c r="R356" s="65">
        <v>41.74</v>
      </c>
      <c r="S356" s="65">
        <v>0</v>
      </c>
      <c r="T356" s="65">
        <v>0</v>
      </c>
      <c r="U356" s="65">
        <v>116.32</v>
      </c>
    </row>
    <row r="357" spans="1:21" s="61" customFormat="1" hidden="1" x14ac:dyDescent="0.25">
      <c r="A357" s="62">
        <v>444683</v>
      </c>
      <c r="B357" s="61" t="s">
        <v>445</v>
      </c>
      <c r="C357" s="63">
        <v>39478</v>
      </c>
      <c r="D357" s="63">
        <v>39478.333333333336</v>
      </c>
      <c r="E357" s="61" t="s">
        <v>446</v>
      </c>
      <c r="F357" s="61" t="s">
        <v>452</v>
      </c>
      <c r="G357" s="61" t="s">
        <v>511</v>
      </c>
      <c r="H357" s="61" t="s">
        <v>441</v>
      </c>
      <c r="I357" s="61" t="s">
        <v>442</v>
      </c>
      <c r="J357" s="61" t="s">
        <v>443</v>
      </c>
      <c r="K357" s="61" t="s">
        <v>443</v>
      </c>
      <c r="L357" s="64">
        <v>0</v>
      </c>
      <c r="M357" s="64">
        <v>29.643999999999998</v>
      </c>
      <c r="N357" s="64">
        <v>38.479999999999997</v>
      </c>
      <c r="O357" s="61" t="s">
        <v>444</v>
      </c>
      <c r="P357" s="64">
        <v>1.44</v>
      </c>
      <c r="Q357" s="65">
        <v>23.5</v>
      </c>
      <c r="R357" s="65">
        <v>13.15</v>
      </c>
      <c r="S357" s="65">
        <v>0</v>
      </c>
      <c r="T357" s="65">
        <v>0</v>
      </c>
      <c r="U357" s="65">
        <v>36.65</v>
      </c>
    </row>
    <row r="358" spans="1:21" s="61" customFormat="1" hidden="1" x14ac:dyDescent="0.25">
      <c r="A358" s="62">
        <v>439395</v>
      </c>
      <c r="B358" s="61" t="s">
        <v>437</v>
      </c>
      <c r="C358" s="63">
        <v>39455</v>
      </c>
      <c r="D358" s="63">
        <v>39455.333333333336</v>
      </c>
      <c r="E358" s="61" t="s">
        <v>450</v>
      </c>
      <c r="F358" s="61" t="s">
        <v>464</v>
      </c>
      <c r="G358" s="61" t="s">
        <v>511</v>
      </c>
      <c r="H358" s="61" t="s">
        <v>441</v>
      </c>
      <c r="I358" s="61" t="s">
        <v>442</v>
      </c>
      <c r="J358" s="61" t="s">
        <v>443</v>
      </c>
      <c r="K358" s="61" t="s">
        <v>443</v>
      </c>
      <c r="L358" s="64">
        <v>0</v>
      </c>
      <c r="M358" s="64">
        <v>0</v>
      </c>
      <c r="N358" s="64">
        <v>28.173999999999999</v>
      </c>
      <c r="O358" s="61" t="s">
        <v>444</v>
      </c>
      <c r="P358" s="64">
        <v>6.57</v>
      </c>
      <c r="Q358" s="65">
        <v>800.71</v>
      </c>
      <c r="R358" s="65">
        <v>227.18</v>
      </c>
      <c r="S358" s="65">
        <v>0</v>
      </c>
      <c r="T358" s="65">
        <v>0</v>
      </c>
      <c r="U358" s="65">
        <v>1027.8800000000001</v>
      </c>
    </row>
    <row r="359" spans="1:21" s="61" customFormat="1" hidden="1" x14ac:dyDescent="0.25">
      <c r="A359" s="62">
        <v>439395</v>
      </c>
      <c r="B359" s="61" t="s">
        <v>437</v>
      </c>
      <c r="C359" s="63">
        <v>39455</v>
      </c>
      <c r="D359" s="63">
        <v>39455.333333333336</v>
      </c>
      <c r="E359" s="61" t="s">
        <v>450</v>
      </c>
      <c r="F359" s="61" t="s">
        <v>464</v>
      </c>
      <c r="G359" s="61" t="s">
        <v>511</v>
      </c>
      <c r="H359" s="61" t="s">
        <v>441</v>
      </c>
      <c r="I359" s="61" t="s">
        <v>442</v>
      </c>
      <c r="J359" s="61" t="s">
        <v>443</v>
      </c>
      <c r="K359" s="61" t="s">
        <v>443</v>
      </c>
      <c r="L359" s="64">
        <v>0</v>
      </c>
      <c r="M359" s="64">
        <v>29.643999999999998</v>
      </c>
      <c r="N359" s="64">
        <v>38.479999999999997</v>
      </c>
      <c r="O359" s="61" t="s">
        <v>444</v>
      </c>
      <c r="P359" s="64">
        <v>2.0699999999999998</v>
      </c>
      <c r="Q359" s="65">
        <v>252.28</v>
      </c>
      <c r="R359" s="65">
        <v>71.58</v>
      </c>
      <c r="S359" s="65">
        <v>0</v>
      </c>
      <c r="T359" s="65">
        <v>0</v>
      </c>
      <c r="U359" s="65">
        <v>323.85000000000002</v>
      </c>
    </row>
    <row r="360" spans="1:21" s="61" customFormat="1" hidden="1" x14ac:dyDescent="0.25">
      <c r="A360" s="62">
        <v>438798</v>
      </c>
      <c r="B360" s="61" t="s">
        <v>445</v>
      </c>
      <c r="C360" s="63">
        <v>39456</v>
      </c>
      <c r="D360" s="63">
        <v>39456.333333333336</v>
      </c>
      <c r="E360" s="61" t="s">
        <v>446</v>
      </c>
      <c r="F360" s="61" t="s">
        <v>513</v>
      </c>
      <c r="G360" s="61" t="s">
        <v>511</v>
      </c>
      <c r="H360" s="61" t="s">
        <v>441</v>
      </c>
      <c r="I360" s="61" t="s">
        <v>442</v>
      </c>
      <c r="J360" s="61" t="s">
        <v>443</v>
      </c>
      <c r="K360" s="61" t="s">
        <v>443</v>
      </c>
      <c r="L360" s="64">
        <v>0</v>
      </c>
      <c r="M360" s="64">
        <v>0</v>
      </c>
      <c r="N360" s="64">
        <v>28.173999999999999</v>
      </c>
      <c r="O360" s="61" t="s">
        <v>444</v>
      </c>
      <c r="P360" s="64">
        <v>7.3</v>
      </c>
      <c r="Q360" s="65">
        <v>183.23</v>
      </c>
      <c r="R360" s="65">
        <v>47.41</v>
      </c>
      <c r="S360" s="65">
        <v>0</v>
      </c>
      <c r="T360" s="65">
        <v>0</v>
      </c>
      <c r="U360" s="65">
        <v>230.64</v>
      </c>
    </row>
    <row r="361" spans="1:21" s="61" customFormat="1" hidden="1" x14ac:dyDescent="0.25">
      <c r="A361" s="62">
        <v>438798</v>
      </c>
      <c r="B361" s="61" t="s">
        <v>445</v>
      </c>
      <c r="C361" s="63">
        <v>39456</v>
      </c>
      <c r="D361" s="63">
        <v>39456.333333333336</v>
      </c>
      <c r="E361" s="61" t="s">
        <v>446</v>
      </c>
      <c r="F361" s="61" t="s">
        <v>513</v>
      </c>
      <c r="G361" s="61" t="s">
        <v>511</v>
      </c>
      <c r="H361" s="61" t="s">
        <v>441</v>
      </c>
      <c r="I361" s="61" t="s">
        <v>442</v>
      </c>
      <c r="J361" s="61" t="s">
        <v>443</v>
      </c>
      <c r="K361" s="61" t="s">
        <v>443</v>
      </c>
      <c r="L361" s="64">
        <v>0</v>
      </c>
      <c r="M361" s="64">
        <v>29.643999999999998</v>
      </c>
      <c r="N361" s="64">
        <v>38.479999999999997</v>
      </c>
      <c r="O361" s="61" t="s">
        <v>444</v>
      </c>
      <c r="P361" s="64">
        <v>2.2999999999999998</v>
      </c>
      <c r="Q361" s="65">
        <v>57.73</v>
      </c>
      <c r="R361" s="65">
        <v>14.94</v>
      </c>
      <c r="S361" s="65">
        <v>0</v>
      </c>
      <c r="T361" s="65">
        <v>0</v>
      </c>
      <c r="U361" s="65">
        <v>72.67</v>
      </c>
    </row>
    <row r="362" spans="1:21" s="61" customFormat="1" hidden="1" x14ac:dyDescent="0.25">
      <c r="A362" s="62">
        <v>438681</v>
      </c>
      <c r="B362" s="61" t="s">
        <v>445</v>
      </c>
      <c r="C362" s="63">
        <v>39455</v>
      </c>
      <c r="D362" s="63">
        <v>39455.333333333336</v>
      </c>
      <c r="E362" s="61" t="s">
        <v>446</v>
      </c>
      <c r="F362" s="61" t="s">
        <v>452</v>
      </c>
      <c r="G362" s="61" t="s">
        <v>511</v>
      </c>
      <c r="H362" s="61" t="s">
        <v>441</v>
      </c>
      <c r="I362" s="61" t="s">
        <v>442</v>
      </c>
      <c r="J362" s="61" t="s">
        <v>443</v>
      </c>
      <c r="K362" s="61" t="s">
        <v>443</v>
      </c>
      <c r="L362" s="64">
        <v>0</v>
      </c>
      <c r="M362" s="64">
        <v>0</v>
      </c>
      <c r="N362" s="64">
        <v>28.173999999999999</v>
      </c>
      <c r="O362" s="61" t="s">
        <v>444</v>
      </c>
      <c r="P362" s="64">
        <v>23.36</v>
      </c>
      <c r="Q362" s="65">
        <v>109.94</v>
      </c>
      <c r="R362" s="65">
        <v>28.45</v>
      </c>
      <c r="S362" s="65">
        <v>0</v>
      </c>
      <c r="T362" s="65">
        <v>0</v>
      </c>
      <c r="U362" s="65">
        <v>138.38999999999999</v>
      </c>
    </row>
    <row r="363" spans="1:21" s="61" customFormat="1" hidden="1" x14ac:dyDescent="0.25">
      <c r="A363" s="62">
        <v>438681</v>
      </c>
      <c r="B363" s="61" t="s">
        <v>445</v>
      </c>
      <c r="C363" s="63">
        <v>39455</v>
      </c>
      <c r="D363" s="63">
        <v>39455.333333333336</v>
      </c>
      <c r="E363" s="61" t="s">
        <v>446</v>
      </c>
      <c r="F363" s="61" t="s">
        <v>452</v>
      </c>
      <c r="G363" s="61" t="s">
        <v>511</v>
      </c>
      <c r="H363" s="61" t="s">
        <v>441</v>
      </c>
      <c r="I363" s="61" t="s">
        <v>442</v>
      </c>
      <c r="J363" s="61" t="s">
        <v>443</v>
      </c>
      <c r="K363" s="61" t="s">
        <v>443</v>
      </c>
      <c r="L363" s="64">
        <v>0</v>
      </c>
      <c r="M363" s="64">
        <v>29.643999999999998</v>
      </c>
      <c r="N363" s="64">
        <v>38.479999999999997</v>
      </c>
      <c r="O363" s="61" t="s">
        <v>444</v>
      </c>
      <c r="P363" s="64">
        <v>7.36</v>
      </c>
      <c r="Q363" s="65">
        <v>34.64</v>
      </c>
      <c r="R363" s="65">
        <v>8.9600000000000009</v>
      </c>
      <c r="S363" s="65">
        <v>0</v>
      </c>
      <c r="T363" s="65">
        <v>0</v>
      </c>
      <c r="U363" s="65">
        <v>43.6</v>
      </c>
    </row>
    <row r="364" spans="1:21" s="61" customFormat="1" hidden="1" x14ac:dyDescent="0.25">
      <c r="A364" s="62">
        <v>438023</v>
      </c>
      <c r="B364" s="61" t="s">
        <v>445</v>
      </c>
      <c r="C364" s="63">
        <v>39455</v>
      </c>
      <c r="D364" s="63">
        <v>39455.333333333336</v>
      </c>
      <c r="E364" s="61" t="s">
        <v>446</v>
      </c>
      <c r="F364" s="61" t="s">
        <v>513</v>
      </c>
      <c r="G364" s="61" t="s">
        <v>511</v>
      </c>
      <c r="H364" s="61" t="s">
        <v>441</v>
      </c>
      <c r="I364" s="61" t="s">
        <v>442</v>
      </c>
      <c r="J364" s="61" t="s">
        <v>443</v>
      </c>
      <c r="K364" s="61" t="s">
        <v>443</v>
      </c>
      <c r="L364" s="64">
        <v>0</v>
      </c>
      <c r="M364" s="64">
        <v>0</v>
      </c>
      <c r="N364" s="64">
        <v>28.173999999999999</v>
      </c>
      <c r="O364" s="61" t="s">
        <v>444</v>
      </c>
      <c r="P364" s="64">
        <v>0</v>
      </c>
      <c r="Q364" s="65">
        <v>0</v>
      </c>
      <c r="R364" s="65">
        <v>0</v>
      </c>
      <c r="S364" s="65">
        <v>0</v>
      </c>
      <c r="T364" s="65">
        <v>0</v>
      </c>
      <c r="U364" s="65">
        <v>0</v>
      </c>
    </row>
    <row r="365" spans="1:21" s="61" customFormat="1" hidden="1" x14ac:dyDescent="0.25">
      <c r="A365" s="62">
        <v>438023</v>
      </c>
      <c r="B365" s="61" t="s">
        <v>445</v>
      </c>
      <c r="C365" s="63">
        <v>39455</v>
      </c>
      <c r="D365" s="63">
        <v>39455.333333333336</v>
      </c>
      <c r="E365" s="61" t="s">
        <v>446</v>
      </c>
      <c r="F365" s="61" t="s">
        <v>513</v>
      </c>
      <c r="G365" s="61" t="s">
        <v>511</v>
      </c>
      <c r="H365" s="61" t="s">
        <v>441</v>
      </c>
      <c r="I365" s="61" t="s">
        <v>442</v>
      </c>
      <c r="J365" s="61" t="s">
        <v>443</v>
      </c>
      <c r="K365" s="61" t="s">
        <v>443</v>
      </c>
      <c r="L365" s="64">
        <v>0</v>
      </c>
      <c r="M365" s="64">
        <v>29.643999999999998</v>
      </c>
      <c r="N365" s="64">
        <v>38.479999999999997</v>
      </c>
      <c r="O365" s="61" t="s">
        <v>444</v>
      </c>
      <c r="P365" s="64">
        <v>0</v>
      </c>
      <c r="Q365" s="65">
        <v>0</v>
      </c>
      <c r="R365" s="65">
        <v>0</v>
      </c>
      <c r="S365" s="65">
        <v>0</v>
      </c>
      <c r="T365" s="65">
        <v>0</v>
      </c>
      <c r="U365" s="65">
        <v>0</v>
      </c>
    </row>
    <row r="366" spans="1:21" s="61" customFormat="1" hidden="1" x14ac:dyDescent="0.25">
      <c r="A366" s="62">
        <v>423808</v>
      </c>
      <c r="B366" s="61" t="s">
        <v>472</v>
      </c>
      <c r="C366" s="63">
        <v>39499</v>
      </c>
      <c r="D366" s="63">
        <v>39582.333333333336</v>
      </c>
      <c r="E366" s="61" t="s">
        <v>500</v>
      </c>
      <c r="F366" s="61" t="s">
        <v>506</v>
      </c>
      <c r="G366" s="61" t="s">
        <v>511</v>
      </c>
      <c r="H366" s="61" t="s">
        <v>441</v>
      </c>
      <c r="I366" s="61" t="s">
        <v>442</v>
      </c>
      <c r="J366" s="61" t="s">
        <v>443</v>
      </c>
      <c r="K366" s="61" t="s">
        <v>443</v>
      </c>
      <c r="L366" s="64">
        <v>0</v>
      </c>
      <c r="M366" s="64">
        <v>0</v>
      </c>
      <c r="N366" s="64">
        <v>28.173999999999999</v>
      </c>
      <c r="O366" s="61" t="s">
        <v>444</v>
      </c>
      <c r="P366" s="64">
        <v>11826</v>
      </c>
      <c r="Q366" s="65">
        <v>609.16999999999996</v>
      </c>
      <c r="R366" s="65">
        <v>361.73</v>
      </c>
      <c r="S366" s="65">
        <v>142.34</v>
      </c>
      <c r="T366" s="65">
        <v>0</v>
      </c>
      <c r="U366" s="65">
        <v>1113.24</v>
      </c>
    </row>
    <row r="367" spans="1:21" s="61" customFormat="1" hidden="1" x14ac:dyDescent="0.25">
      <c r="A367" s="62">
        <v>423808</v>
      </c>
      <c r="B367" s="61" t="s">
        <v>472</v>
      </c>
      <c r="C367" s="63">
        <v>39499</v>
      </c>
      <c r="D367" s="63">
        <v>39582.333333333336</v>
      </c>
      <c r="E367" s="61" t="s">
        <v>500</v>
      </c>
      <c r="F367" s="61" t="s">
        <v>506</v>
      </c>
      <c r="G367" s="61" t="s">
        <v>511</v>
      </c>
      <c r="H367" s="61" t="s">
        <v>441</v>
      </c>
      <c r="I367" s="61" t="s">
        <v>442</v>
      </c>
      <c r="J367" s="61" t="s">
        <v>443</v>
      </c>
      <c r="K367" s="61" t="s">
        <v>443</v>
      </c>
      <c r="L367" s="64">
        <v>0</v>
      </c>
      <c r="M367" s="64">
        <v>29.643999999999998</v>
      </c>
      <c r="N367" s="64">
        <v>38.479999999999997</v>
      </c>
      <c r="O367" s="61" t="s">
        <v>444</v>
      </c>
      <c r="P367" s="64">
        <v>3726</v>
      </c>
      <c r="Q367" s="65">
        <v>191.93</v>
      </c>
      <c r="R367" s="65">
        <v>113.97</v>
      </c>
      <c r="S367" s="65">
        <v>44.85</v>
      </c>
      <c r="T367" s="65">
        <v>0</v>
      </c>
      <c r="U367" s="65">
        <v>350.75</v>
      </c>
    </row>
    <row r="368" spans="1:21" s="61" customFormat="1" hidden="1" x14ac:dyDescent="0.25">
      <c r="A368" s="62">
        <v>423591</v>
      </c>
      <c r="B368" s="61" t="s">
        <v>472</v>
      </c>
      <c r="C368" s="63">
        <v>39393</v>
      </c>
      <c r="D368" s="63">
        <v>39629.333333333336</v>
      </c>
      <c r="E368" s="61" t="s">
        <v>500</v>
      </c>
      <c r="F368" s="61" t="s">
        <v>506</v>
      </c>
      <c r="G368" s="61" t="s">
        <v>511</v>
      </c>
      <c r="H368" s="61" t="s">
        <v>441</v>
      </c>
      <c r="I368" s="61" t="s">
        <v>442</v>
      </c>
      <c r="J368" s="61" t="s">
        <v>443</v>
      </c>
      <c r="K368" s="61" t="s">
        <v>443</v>
      </c>
      <c r="L368" s="64">
        <v>0</v>
      </c>
      <c r="M368" s="64">
        <v>0</v>
      </c>
      <c r="N368" s="64">
        <v>28.173999999999999</v>
      </c>
      <c r="O368" s="61" t="s">
        <v>444</v>
      </c>
      <c r="P368" s="64">
        <v>0</v>
      </c>
      <c r="Q368" s="65">
        <v>0</v>
      </c>
      <c r="R368" s="65">
        <v>0</v>
      </c>
      <c r="S368" s="65">
        <v>0</v>
      </c>
      <c r="T368" s="65">
        <v>0</v>
      </c>
      <c r="U368" s="65">
        <v>0</v>
      </c>
    </row>
    <row r="369" spans="1:21" s="61" customFormat="1" hidden="1" x14ac:dyDescent="0.25">
      <c r="A369" s="62">
        <v>423591</v>
      </c>
      <c r="B369" s="61" t="s">
        <v>472</v>
      </c>
      <c r="C369" s="63">
        <v>39393</v>
      </c>
      <c r="D369" s="63">
        <v>39629.333333333336</v>
      </c>
      <c r="E369" s="61" t="s">
        <v>500</v>
      </c>
      <c r="F369" s="61" t="s">
        <v>506</v>
      </c>
      <c r="G369" s="61" t="s">
        <v>511</v>
      </c>
      <c r="H369" s="61" t="s">
        <v>441</v>
      </c>
      <c r="I369" s="61" t="s">
        <v>442</v>
      </c>
      <c r="J369" s="61" t="s">
        <v>443</v>
      </c>
      <c r="K369" s="61" t="s">
        <v>443</v>
      </c>
      <c r="L369" s="64">
        <v>0</v>
      </c>
      <c r="M369" s="64">
        <v>29.643999999999998</v>
      </c>
      <c r="N369" s="64">
        <v>38.479999999999997</v>
      </c>
      <c r="O369" s="61" t="s">
        <v>444</v>
      </c>
      <c r="P369" s="64">
        <v>0</v>
      </c>
      <c r="Q369" s="65">
        <v>0</v>
      </c>
      <c r="R369" s="65">
        <v>0</v>
      </c>
      <c r="S369" s="65">
        <v>0</v>
      </c>
      <c r="T369" s="65">
        <v>0</v>
      </c>
      <c r="U369" s="65">
        <v>0</v>
      </c>
    </row>
    <row r="370" spans="1:21" s="61" customFormat="1" hidden="1" x14ac:dyDescent="0.25">
      <c r="A370" s="62">
        <v>422054</v>
      </c>
      <c r="B370" s="61" t="s">
        <v>445</v>
      </c>
      <c r="C370" s="63">
        <v>39386</v>
      </c>
      <c r="D370" s="63">
        <v>39386.333333333336</v>
      </c>
      <c r="E370" s="61" t="s">
        <v>446</v>
      </c>
      <c r="F370" s="61" t="s">
        <v>514</v>
      </c>
      <c r="G370" s="61" t="s">
        <v>511</v>
      </c>
      <c r="H370" s="61" t="s">
        <v>441</v>
      </c>
      <c r="I370" s="61" t="s">
        <v>442</v>
      </c>
      <c r="J370" s="61" t="s">
        <v>443</v>
      </c>
      <c r="K370" s="61" t="s">
        <v>443</v>
      </c>
      <c r="L370" s="64">
        <v>0</v>
      </c>
      <c r="M370" s="64">
        <v>0</v>
      </c>
      <c r="N370" s="64">
        <v>28.173999999999999</v>
      </c>
      <c r="O370" s="61" t="s">
        <v>444</v>
      </c>
      <c r="P370" s="64">
        <v>0</v>
      </c>
      <c r="Q370" s="65">
        <v>155.75</v>
      </c>
      <c r="R370" s="65">
        <v>20.56</v>
      </c>
      <c r="S370" s="65">
        <v>0</v>
      </c>
      <c r="T370" s="65">
        <v>0</v>
      </c>
      <c r="U370" s="65">
        <v>176.3</v>
      </c>
    </row>
    <row r="371" spans="1:21" s="61" customFormat="1" hidden="1" x14ac:dyDescent="0.25">
      <c r="A371" s="62">
        <v>422054</v>
      </c>
      <c r="B371" s="61" t="s">
        <v>445</v>
      </c>
      <c r="C371" s="63">
        <v>39386</v>
      </c>
      <c r="D371" s="63">
        <v>39386.333333333336</v>
      </c>
      <c r="E371" s="61" t="s">
        <v>446</v>
      </c>
      <c r="F371" s="61" t="s">
        <v>514</v>
      </c>
      <c r="G371" s="61" t="s">
        <v>511</v>
      </c>
      <c r="H371" s="61" t="s">
        <v>441</v>
      </c>
      <c r="I371" s="61" t="s">
        <v>442</v>
      </c>
      <c r="J371" s="61" t="s">
        <v>443</v>
      </c>
      <c r="K371" s="61" t="s">
        <v>443</v>
      </c>
      <c r="L371" s="64">
        <v>0</v>
      </c>
      <c r="M371" s="64">
        <v>29.643999999999998</v>
      </c>
      <c r="N371" s="64">
        <v>38.479999999999997</v>
      </c>
      <c r="O371" s="61" t="s">
        <v>444</v>
      </c>
      <c r="P371" s="64">
        <v>0</v>
      </c>
      <c r="Q371" s="65">
        <v>49.07</v>
      </c>
      <c r="R371" s="65">
        <v>6.48</v>
      </c>
      <c r="S371" s="65">
        <v>0</v>
      </c>
      <c r="T371" s="65">
        <v>0</v>
      </c>
      <c r="U371" s="65">
        <v>55.55</v>
      </c>
    </row>
    <row r="372" spans="1:21" s="61" customFormat="1" hidden="1" x14ac:dyDescent="0.25">
      <c r="A372" s="62">
        <v>421798</v>
      </c>
      <c r="B372" s="61" t="s">
        <v>437</v>
      </c>
      <c r="C372" s="63">
        <v>39386</v>
      </c>
      <c r="D372" s="63">
        <v>39388.333333333336</v>
      </c>
      <c r="E372" s="61" t="s">
        <v>450</v>
      </c>
      <c r="F372" s="61" t="s">
        <v>515</v>
      </c>
      <c r="G372" s="61" t="s">
        <v>511</v>
      </c>
      <c r="H372" s="61" t="s">
        <v>441</v>
      </c>
      <c r="I372" s="61" t="s">
        <v>442</v>
      </c>
      <c r="J372" s="61" t="s">
        <v>443</v>
      </c>
      <c r="K372" s="61" t="s">
        <v>443</v>
      </c>
      <c r="L372" s="64">
        <v>0</v>
      </c>
      <c r="M372" s="64">
        <v>0</v>
      </c>
      <c r="N372" s="64">
        <v>28.173999999999999</v>
      </c>
      <c r="O372" s="61" t="s">
        <v>444</v>
      </c>
      <c r="P372" s="64">
        <v>1606</v>
      </c>
      <c r="Q372" s="65">
        <v>2441.7600000000002</v>
      </c>
      <c r="R372" s="65">
        <v>0</v>
      </c>
      <c r="S372" s="65">
        <v>0</v>
      </c>
      <c r="T372" s="65">
        <v>0</v>
      </c>
      <c r="U372" s="65">
        <v>2441.7600000000002</v>
      </c>
    </row>
    <row r="373" spans="1:21" s="61" customFormat="1" hidden="1" x14ac:dyDescent="0.25">
      <c r="A373" s="62">
        <v>421798</v>
      </c>
      <c r="B373" s="61" t="s">
        <v>437</v>
      </c>
      <c r="C373" s="63">
        <v>39386</v>
      </c>
      <c r="D373" s="63">
        <v>39388.333333333336</v>
      </c>
      <c r="E373" s="61" t="s">
        <v>450</v>
      </c>
      <c r="F373" s="61" t="s">
        <v>515</v>
      </c>
      <c r="G373" s="61" t="s">
        <v>511</v>
      </c>
      <c r="H373" s="61" t="s">
        <v>441</v>
      </c>
      <c r="I373" s="61" t="s">
        <v>442</v>
      </c>
      <c r="J373" s="61" t="s">
        <v>443</v>
      </c>
      <c r="K373" s="61" t="s">
        <v>443</v>
      </c>
      <c r="L373" s="64">
        <v>0</v>
      </c>
      <c r="M373" s="64">
        <v>29.643999999999998</v>
      </c>
      <c r="N373" s="64">
        <v>38.479999999999997</v>
      </c>
      <c r="O373" s="61" t="s">
        <v>444</v>
      </c>
      <c r="P373" s="64">
        <v>506</v>
      </c>
      <c r="Q373" s="65">
        <v>769.32</v>
      </c>
      <c r="R373" s="65">
        <v>0</v>
      </c>
      <c r="S373" s="65">
        <v>0</v>
      </c>
      <c r="T373" s="65">
        <v>0</v>
      </c>
      <c r="U373" s="65">
        <v>769.32</v>
      </c>
    </row>
    <row r="374" spans="1:21" s="61" customFormat="1" hidden="1" x14ac:dyDescent="0.25">
      <c r="A374" s="62">
        <v>414535</v>
      </c>
      <c r="B374" s="61" t="s">
        <v>445</v>
      </c>
      <c r="C374" s="63">
        <v>39364</v>
      </c>
      <c r="D374" s="63">
        <v>39364.333333333336</v>
      </c>
      <c r="E374" s="61" t="s">
        <v>446</v>
      </c>
      <c r="F374" s="61" t="s">
        <v>516</v>
      </c>
      <c r="G374" s="61" t="s">
        <v>511</v>
      </c>
      <c r="H374" s="61" t="s">
        <v>441</v>
      </c>
      <c r="I374" s="61" t="s">
        <v>442</v>
      </c>
      <c r="J374" s="61" t="s">
        <v>443</v>
      </c>
      <c r="K374" s="61" t="s">
        <v>443</v>
      </c>
      <c r="L374" s="64">
        <v>0</v>
      </c>
      <c r="M374" s="64">
        <v>0</v>
      </c>
      <c r="N374" s="64">
        <v>28.173999999999999</v>
      </c>
      <c r="O374" s="61" t="s">
        <v>444</v>
      </c>
      <c r="P374" s="64">
        <v>4.0199999999999996</v>
      </c>
      <c r="Q374" s="65">
        <v>36.65</v>
      </c>
      <c r="R374" s="65">
        <v>9.48</v>
      </c>
      <c r="S374" s="65">
        <v>0</v>
      </c>
      <c r="T374" s="65">
        <v>0</v>
      </c>
      <c r="U374" s="65">
        <v>46.13</v>
      </c>
    </row>
    <row r="375" spans="1:21" s="61" customFormat="1" hidden="1" x14ac:dyDescent="0.25">
      <c r="A375" s="62">
        <v>414535</v>
      </c>
      <c r="B375" s="61" t="s">
        <v>445</v>
      </c>
      <c r="C375" s="63">
        <v>39364</v>
      </c>
      <c r="D375" s="63">
        <v>39364.333333333336</v>
      </c>
      <c r="E375" s="61" t="s">
        <v>446</v>
      </c>
      <c r="F375" s="61" t="s">
        <v>516</v>
      </c>
      <c r="G375" s="61" t="s">
        <v>511</v>
      </c>
      <c r="H375" s="61" t="s">
        <v>441</v>
      </c>
      <c r="I375" s="61" t="s">
        <v>442</v>
      </c>
      <c r="J375" s="61" t="s">
        <v>443</v>
      </c>
      <c r="K375" s="61" t="s">
        <v>443</v>
      </c>
      <c r="L375" s="64">
        <v>0</v>
      </c>
      <c r="M375" s="64">
        <v>29.643999999999998</v>
      </c>
      <c r="N375" s="64">
        <v>38.479999999999997</v>
      </c>
      <c r="O375" s="61" t="s">
        <v>444</v>
      </c>
      <c r="P375" s="64">
        <v>1.27</v>
      </c>
      <c r="Q375" s="65">
        <v>11.55</v>
      </c>
      <c r="R375" s="65">
        <v>2.99</v>
      </c>
      <c r="S375" s="65">
        <v>0</v>
      </c>
      <c r="T375" s="65">
        <v>0</v>
      </c>
      <c r="U375" s="65">
        <v>14.53</v>
      </c>
    </row>
    <row r="376" spans="1:21" s="61" customFormat="1" hidden="1" x14ac:dyDescent="0.25">
      <c r="A376" s="62">
        <v>411825</v>
      </c>
      <c r="B376" s="61" t="s">
        <v>445</v>
      </c>
      <c r="C376" s="63">
        <v>39356</v>
      </c>
      <c r="D376" s="63">
        <v>39356.333333333336</v>
      </c>
      <c r="E376" s="61" t="s">
        <v>446</v>
      </c>
      <c r="F376" s="61" t="s">
        <v>514</v>
      </c>
      <c r="G376" s="61" t="s">
        <v>511</v>
      </c>
      <c r="H376" s="61" t="s">
        <v>441</v>
      </c>
      <c r="I376" s="61" t="s">
        <v>442</v>
      </c>
      <c r="J376" s="61" t="s">
        <v>443</v>
      </c>
      <c r="K376" s="61" t="s">
        <v>443</v>
      </c>
      <c r="L376" s="64">
        <v>0</v>
      </c>
      <c r="M376" s="64">
        <v>0</v>
      </c>
      <c r="N376" s="64">
        <v>28.173999999999999</v>
      </c>
      <c r="O376" s="61" t="s">
        <v>444</v>
      </c>
      <c r="P376" s="64">
        <v>8.76</v>
      </c>
      <c r="Q376" s="65">
        <v>67.77</v>
      </c>
      <c r="R376" s="65">
        <v>18.97</v>
      </c>
      <c r="S376" s="65">
        <v>0</v>
      </c>
      <c r="T376" s="65">
        <v>0</v>
      </c>
      <c r="U376" s="65">
        <v>86.74</v>
      </c>
    </row>
    <row r="377" spans="1:21" s="61" customFormat="1" hidden="1" x14ac:dyDescent="0.25">
      <c r="A377" s="62">
        <v>411825</v>
      </c>
      <c r="B377" s="61" t="s">
        <v>445</v>
      </c>
      <c r="C377" s="63">
        <v>39356</v>
      </c>
      <c r="D377" s="63">
        <v>39356.333333333336</v>
      </c>
      <c r="E377" s="61" t="s">
        <v>446</v>
      </c>
      <c r="F377" s="61" t="s">
        <v>514</v>
      </c>
      <c r="G377" s="61" t="s">
        <v>511</v>
      </c>
      <c r="H377" s="61" t="s">
        <v>441</v>
      </c>
      <c r="I377" s="61" t="s">
        <v>442</v>
      </c>
      <c r="J377" s="61" t="s">
        <v>443</v>
      </c>
      <c r="K377" s="61" t="s">
        <v>443</v>
      </c>
      <c r="L377" s="64">
        <v>0</v>
      </c>
      <c r="M377" s="64">
        <v>29.643999999999998</v>
      </c>
      <c r="N377" s="64">
        <v>38.479999999999997</v>
      </c>
      <c r="O377" s="61" t="s">
        <v>444</v>
      </c>
      <c r="P377" s="64">
        <v>2.76</v>
      </c>
      <c r="Q377" s="65">
        <v>21.35</v>
      </c>
      <c r="R377" s="65">
        <v>5.98</v>
      </c>
      <c r="S377" s="65">
        <v>0</v>
      </c>
      <c r="T377" s="65">
        <v>0</v>
      </c>
      <c r="U377" s="65">
        <v>27.33</v>
      </c>
    </row>
    <row r="378" spans="1:21" s="61" customFormat="1" hidden="1" x14ac:dyDescent="0.25">
      <c r="A378" s="62">
        <v>409715</v>
      </c>
      <c r="B378" s="61" t="s">
        <v>437</v>
      </c>
      <c r="C378" s="63">
        <v>39342</v>
      </c>
      <c r="D378" s="63">
        <v>39343.333333333336</v>
      </c>
      <c r="E378" s="61" t="s">
        <v>450</v>
      </c>
      <c r="F378" s="61" t="s">
        <v>517</v>
      </c>
      <c r="G378" s="61" t="s">
        <v>511</v>
      </c>
      <c r="H378" s="61" t="s">
        <v>441</v>
      </c>
      <c r="I378" s="61" t="s">
        <v>442</v>
      </c>
      <c r="J378" s="61" t="s">
        <v>443</v>
      </c>
      <c r="K378" s="61" t="s">
        <v>443</v>
      </c>
      <c r="L378" s="64">
        <v>0</v>
      </c>
      <c r="M378" s="64">
        <v>0</v>
      </c>
      <c r="N378" s="64">
        <v>28.173999999999999</v>
      </c>
      <c r="O378" s="61" t="s">
        <v>444</v>
      </c>
      <c r="P378" s="64">
        <v>0</v>
      </c>
      <c r="Q378" s="65">
        <v>1099.03</v>
      </c>
      <c r="R378" s="65">
        <v>112.13</v>
      </c>
      <c r="S378" s="65">
        <v>0</v>
      </c>
      <c r="T378" s="65">
        <v>0</v>
      </c>
      <c r="U378" s="65">
        <v>1211.1600000000001</v>
      </c>
    </row>
    <row r="379" spans="1:21" s="61" customFormat="1" hidden="1" x14ac:dyDescent="0.25">
      <c r="A379" s="62">
        <v>409715</v>
      </c>
      <c r="B379" s="61" t="s">
        <v>437</v>
      </c>
      <c r="C379" s="63">
        <v>39342</v>
      </c>
      <c r="D379" s="63">
        <v>39343.333333333336</v>
      </c>
      <c r="E379" s="61" t="s">
        <v>450</v>
      </c>
      <c r="F379" s="61" t="s">
        <v>517</v>
      </c>
      <c r="G379" s="61" t="s">
        <v>511</v>
      </c>
      <c r="H379" s="61" t="s">
        <v>441</v>
      </c>
      <c r="I379" s="61" t="s">
        <v>442</v>
      </c>
      <c r="J379" s="61" t="s">
        <v>443</v>
      </c>
      <c r="K379" s="61" t="s">
        <v>443</v>
      </c>
      <c r="L379" s="64">
        <v>0</v>
      </c>
      <c r="M379" s="64">
        <v>29.643999999999998</v>
      </c>
      <c r="N379" s="64">
        <v>38.479999999999997</v>
      </c>
      <c r="O379" s="61" t="s">
        <v>444</v>
      </c>
      <c r="P379" s="64">
        <v>0</v>
      </c>
      <c r="Q379" s="65">
        <v>346.27</v>
      </c>
      <c r="R379" s="65">
        <v>35.33</v>
      </c>
      <c r="S379" s="65">
        <v>0</v>
      </c>
      <c r="T379" s="65">
        <v>0</v>
      </c>
      <c r="U379" s="65">
        <v>381.6</v>
      </c>
    </row>
    <row r="380" spans="1:21" s="61" customFormat="1" hidden="1" x14ac:dyDescent="0.25">
      <c r="A380" s="62">
        <v>409208</v>
      </c>
      <c r="B380" s="61" t="s">
        <v>445</v>
      </c>
      <c r="C380" s="63">
        <v>39349</v>
      </c>
      <c r="D380" s="63">
        <v>39349.333333333336</v>
      </c>
      <c r="E380" s="61" t="s">
        <v>518</v>
      </c>
      <c r="F380" s="61" t="s">
        <v>519</v>
      </c>
      <c r="G380" s="61" t="s">
        <v>511</v>
      </c>
      <c r="H380" s="61" t="s">
        <v>520</v>
      </c>
      <c r="I380" s="61" t="s">
        <v>442</v>
      </c>
      <c r="J380" s="61" t="s">
        <v>443</v>
      </c>
      <c r="K380" s="61" t="s">
        <v>443</v>
      </c>
      <c r="L380" s="64">
        <v>0</v>
      </c>
      <c r="M380" s="64">
        <v>0</v>
      </c>
      <c r="N380" s="64">
        <v>28.173999999999999</v>
      </c>
      <c r="O380" s="61" t="s">
        <v>444</v>
      </c>
      <c r="P380" s="64">
        <v>0.73</v>
      </c>
      <c r="Q380" s="65">
        <v>17.38</v>
      </c>
      <c r="R380" s="65">
        <v>13.43</v>
      </c>
      <c r="S380" s="65">
        <v>0</v>
      </c>
      <c r="T380" s="65">
        <v>0</v>
      </c>
      <c r="U380" s="65">
        <v>30.81</v>
      </c>
    </row>
    <row r="381" spans="1:21" s="61" customFormat="1" hidden="1" x14ac:dyDescent="0.25">
      <c r="A381" s="62">
        <v>409208</v>
      </c>
      <c r="B381" s="61" t="s">
        <v>445</v>
      </c>
      <c r="C381" s="63">
        <v>39349</v>
      </c>
      <c r="D381" s="63">
        <v>39349.333333333336</v>
      </c>
      <c r="E381" s="61" t="s">
        <v>518</v>
      </c>
      <c r="F381" s="61" t="s">
        <v>519</v>
      </c>
      <c r="G381" s="61" t="s">
        <v>511</v>
      </c>
      <c r="H381" s="61" t="s">
        <v>520</v>
      </c>
      <c r="I381" s="61" t="s">
        <v>442</v>
      </c>
      <c r="J381" s="61" t="s">
        <v>443</v>
      </c>
      <c r="K381" s="61" t="s">
        <v>443</v>
      </c>
      <c r="L381" s="64">
        <v>0</v>
      </c>
      <c r="M381" s="64">
        <v>29.643999999999998</v>
      </c>
      <c r="N381" s="64">
        <v>38.479999999999997</v>
      </c>
      <c r="O381" s="61" t="s">
        <v>444</v>
      </c>
      <c r="P381" s="64">
        <v>0.23</v>
      </c>
      <c r="Q381" s="65">
        <v>5.48</v>
      </c>
      <c r="R381" s="65">
        <v>4.2300000000000004</v>
      </c>
      <c r="S381" s="65">
        <v>0</v>
      </c>
      <c r="T381" s="65">
        <v>0</v>
      </c>
      <c r="U381" s="65">
        <v>9.7100000000000009</v>
      </c>
    </row>
    <row r="382" spans="1:21" s="61" customFormat="1" hidden="1" x14ac:dyDescent="0.25">
      <c r="A382" s="62">
        <v>409207</v>
      </c>
      <c r="B382" s="61" t="s">
        <v>445</v>
      </c>
      <c r="C382" s="63">
        <v>39349</v>
      </c>
      <c r="D382" s="63">
        <v>39349.333333333336</v>
      </c>
      <c r="E382" s="61" t="s">
        <v>518</v>
      </c>
      <c r="F382" s="61" t="s">
        <v>519</v>
      </c>
      <c r="G382" s="61" t="s">
        <v>511</v>
      </c>
      <c r="H382" s="61" t="s">
        <v>520</v>
      </c>
      <c r="I382" s="61" t="s">
        <v>442</v>
      </c>
      <c r="J382" s="61" t="s">
        <v>443</v>
      </c>
      <c r="K382" s="61" t="s">
        <v>443</v>
      </c>
      <c r="L382" s="64">
        <v>0</v>
      </c>
      <c r="M382" s="64">
        <v>0</v>
      </c>
      <c r="N382" s="64">
        <v>28.173999999999999</v>
      </c>
      <c r="O382" s="61" t="s">
        <v>444</v>
      </c>
      <c r="P382" s="64">
        <v>0.73</v>
      </c>
      <c r="Q382" s="65">
        <v>17.38</v>
      </c>
      <c r="R382" s="65">
        <v>13.43</v>
      </c>
      <c r="S382" s="65">
        <v>0</v>
      </c>
      <c r="T382" s="65">
        <v>0</v>
      </c>
      <c r="U382" s="65">
        <v>30.81</v>
      </c>
    </row>
    <row r="383" spans="1:21" s="61" customFormat="1" hidden="1" x14ac:dyDescent="0.25">
      <c r="A383" s="62">
        <v>409207</v>
      </c>
      <c r="B383" s="61" t="s">
        <v>445</v>
      </c>
      <c r="C383" s="63">
        <v>39349</v>
      </c>
      <c r="D383" s="63">
        <v>39349.333333333336</v>
      </c>
      <c r="E383" s="61" t="s">
        <v>518</v>
      </c>
      <c r="F383" s="61" t="s">
        <v>519</v>
      </c>
      <c r="G383" s="61" t="s">
        <v>511</v>
      </c>
      <c r="H383" s="61" t="s">
        <v>520</v>
      </c>
      <c r="I383" s="61" t="s">
        <v>442</v>
      </c>
      <c r="J383" s="61" t="s">
        <v>443</v>
      </c>
      <c r="K383" s="61" t="s">
        <v>443</v>
      </c>
      <c r="L383" s="64">
        <v>0</v>
      </c>
      <c r="M383" s="64">
        <v>29.643999999999998</v>
      </c>
      <c r="N383" s="64">
        <v>38.479999999999997</v>
      </c>
      <c r="O383" s="61" t="s">
        <v>444</v>
      </c>
      <c r="P383" s="64">
        <v>0.23</v>
      </c>
      <c r="Q383" s="65">
        <v>5.48</v>
      </c>
      <c r="R383" s="65">
        <v>4.2300000000000004</v>
      </c>
      <c r="S383" s="65">
        <v>0</v>
      </c>
      <c r="T383" s="65">
        <v>0</v>
      </c>
      <c r="U383" s="65">
        <v>9.7100000000000009</v>
      </c>
    </row>
    <row r="384" spans="1:21" s="61" customFormat="1" hidden="1" x14ac:dyDescent="0.25">
      <c r="A384" s="62">
        <v>408902</v>
      </c>
      <c r="B384" s="61" t="s">
        <v>437</v>
      </c>
      <c r="C384" s="63">
        <v>39349</v>
      </c>
      <c r="D384" s="63">
        <v>39391</v>
      </c>
      <c r="E384" s="61" t="s">
        <v>450</v>
      </c>
      <c r="F384" s="61" t="s">
        <v>521</v>
      </c>
      <c r="G384" s="61" t="s">
        <v>511</v>
      </c>
      <c r="H384" s="61" t="s">
        <v>441</v>
      </c>
      <c r="I384" s="61" t="s">
        <v>442</v>
      </c>
      <c r="J384" s="61" t="s">
        <v>443</v>
      </c>
      <c r="K384" s="61" t="s">
        <v>443</v>
      </c>
      <c r="L384" s="64">
        <v>0</v>
      </c>
      <c r="M384" s="64">
        <v>0</v>
      </c>
      <c r="N384" s="64">
        <v>28.173999999999999</v>
      </c>
      <c r="O384" s="61" t="s">
        <v>444</v>
      </c>
      <c r="P384" s="64">
        <v>15877.5</v>
      </c>
      <c r="Q384" s="65">
        <v>15511.43</v>
      </c>
      <c r="R384" s="65">
        <v>11163.34</v>
      </c>
      <c r="S384" s="65">
        <v>15408.94</v>
      </c>
      <c r="T384" s="65">
        <v>0</v>
      </c>
      <c r="U384" s="65">
        <v>42083.7</v>
      </c>
    </row>
    <row r="385" spans="1:21" s="61" customFormat="1" hidden="1" x14ac:dyDescent="0.25">
      <c r="A385" s="62">
        <v>408902</v>
      </c>
      <c r="B385" s="61" t="s">
        <v>437</v>
      </c>
      <c r="C385" s="63">
        <v>39349</v>
      </c>
      <c r="D385" s="63">
        <v>39391</v>
      </c>
      <c r="E385" s="61" t="s">
        <v>450</v>
      </c>
      <c r="F385" s="61" t="s">
        <v>521</v>
      </c>
      <c r="G385" s="61" t="s">
        <v>511</v>
      </c>
      <c r="H385" s="61" t="s">
        <v>441</v>
      </c>
      <c r="I385" s="61" t="s">
        <v>442</v>
      </c>
      <c r="J385" s="61" t="s">
        <v>443</v>
      </c>
      <c r="K385" s="61" t="s">
        <v>443</v>
      </c>
      <c r="L385" s="64">
        <v>0</v>
      </c>
      <c r="M385" s="64">
        <v>29.643999999999998</v>
      </c>
      <c r="N385" s="64">
        <v>38.479999999999997</v>
      </c>
      <c r="O385" s="61" t="s">
        <v>444</v>
      </c>
      <c r="P385" s="64">
        <v>5002.5</v>
      </c>
      <c r="Q385" s="65">
        <v>4887.16</v>
      </c>
      <c r="R385" s="65">
        <v>3517.22</v>
      </c>
      <c r="S385" s="65">
        <v>4854.87</v>
      </c>
      <c r="T385" s="65">
        <v>0</v>
      </c>
      <c r="U385" s="65">
        <v>13259.25</v>
      </c>
    </row>
    <row r="386" spans="1:21" s="61" customFormat="1" hidden="1" x14ac:dyDescent="0.25">
      <c r="A386" s="62">
        <v>401745</v>
      </c>
      <c r="B386" s="61" t="s">
        <v>445</v>
      </c>
      <c r="C386" s="63">
        <v>39324</v>
      </c>
      <c r="D386" s="63">
        <v>39324.333333333336</v>
      </c>
      <c r="E386" s="61" t="s">
        <v>446</v>
      </c>
      <c r="F386" s="61" t="s">
        <v>514</v>
      </c>
      <c r="G386" s="61" t="s">
        <v>511</v>
      </c>
      <c r="H386" s="61" t="s">
        <v>441</v>
      </c>
      <c r="I386" s="61" t="s">
        <v>442</v>
      </c>
      <c r="J386" s="61" t="s">
        <v>443</v>
      </c>
      <c r="K386" s="61" t="s">
        <v>443</v>
      </c>
      <c r="L386" s="64">
        <v>0</v>
      </c>
      <c r="M386" s="64">
        <v>0</v>
      </c>
      <c r="N386" s="64">
        <v>28.173999999999999</v>
      </c>
      <c r="O386" s="61" t="s">
        <v>444</v>
      </c>
      <c r="P386" s="64">
        <v>5.48</v>
      </c>
      <c r="Q386" s="65">
        <v>67.77</v>
      </c>
      <c r="R386" s="65">
        <v>18.97</v>
      </c>
      <c r="S386" s="65">
        <v>0</v>
      </c>
      <c r="T386" s="65">
        <v>0</v>
      </c>
      <c r="U386" s="65">
        <v>86.74</v>
      </c>
    </row>
    <row r="387" spans="1:21" s="61" customFormat="1" hidden="1" x14ac:dyDescent="0.25">
      <c r="A387" s="62">
        <v>401745</v>
      </c>
      <c r="B387" s="61" t="s">
        <v>445</v>
      </c>
      <c r="C387" s="63">
        <v>39324</v>
      </c>
      <c r="D387" s="63">
        <v>39324.333333333336</v>
      </c>
      <c r="E387" s="61" t="s">
        <v>446</v>
      </c>
      <c r="F387" s="61" t="s">
        <v>514</v>
      </c>
      <c r="G387" s="61" t="s">
        <v>511</v>
      </c>
      <c r="H387" s="61" t="s">
        <v>441</v>
      </c>
      <c r="I387" s="61" t="s">
        <v>442</v>
      </c>
      <c r="J387" s="61" t="s">
        <v>443</v>
      </c>
      <c r="K387" s="61" t="s">
        <v>443</v>
      </c>
      <c r="L387" s="64">
        <v>0</v>
      </c>
      <c r="M387" s="64">
        <v>29.643999999999998</v>
      </c>
      <c r="N387" s="64">
        <v>38.479999999999997</v>
      </c>
      <c r="O387" s="61" t="s">
        <v>444</v>
      </c>
      <c r="P387" s="64">
        <v>1.73</v>
      </c>
      <c r="Q387" s="65">
        <v>21.35</v>
      </c>
      <c r="R387" s="65">
        <v>5.98</v>
      </c>
      <c r="S387" s="65">
        <v>0</v>
      </c>
      <c r="T387" s="65">
        <v>0</v>
      </c>
      <c r="U387" s="65">
        <v>27.33</v>
      </c>
    </row>
    <row r="388" spans="1:21" s="61" customFormat="1" hidden="1" x14ac:dyDescent="0.25">
      <c r="A388" s="62">
        <v>400806</v>
      </c>
      <c r="B388" s="61" t="s">
        <v>445</v>
      </c>
      <c r="C388" s="63">
        <v>39322</v>
      </c>
      <c r="D388" s="63">
        <v>39322.333333333336</v>
      </c>
      <c r="E388" s="61" t="s">
        <v>446</v>
      </c>
      <c r="F388" s="61" t="s">
        <v>522</v>
      </c>
      <c r="G388" s="61" t="s">
        <v>511</v>
      </c>
      <c r="H388" s="61" t="s">
        <v>441</v>
      </c>
      <c r="I388" s="61" t="s">
        <v>442</v>
      </c>
      <c r="J388" s="61" t="s">
        <v>443</v>
      </c>
      <c r="K388" s="61" t="s">
        <v>443</v>
      </c>
      <c r="L388" s="64">
        <v>0</v>
      </c>
      <c r="M388" s="64">
        <v>0</v>
      </c>
      <c r="N388" s="64">
        <v>28.173999999999999</v>
      </c>
      <c r="O388" s="61" t="s">
        <v>444</v>
      </c>
      <c r="P388" s="64">
        <v>18579.23</v>
      </c>
      <c r="Q388" s="65">
        <v>203.32</v>
      </c>
      <c r="R388" s="65">
        <v>105.92</v>
      </c>
      <c r="S388" s="65">
        <v>0</v>
      </c>
      <c r="T388" s="65">
        <v>0</v>
      </c>
      <c r="U388" s="65">
        <v>309.24</v>
      </c>
    </row>
    <row r="389" spans="1:21" s="61" customFormat="1" hidden="1" x14ac:dyDescent="0.25">
      <c r="A389" s="62">
        <v>400806</v>
      </c>
      <c r="B389" s="61" t="s">
        <v>445</v>
      </c>
      <c r="C389" s="63">
        <v>39322</v>
      </c>
      <c r="D389" s="63">
        <v>39322.333333333336</v>
      </c>
      <c r="E389" s="61" t="s">
        <v>446</v>
      </c>
      <c r="F389" s="61" t="s">
        <v>522</v>
      </c>
      <c r="G389" s="61" t="s">
        <v>511</v>
      </c>
      <c r="H389" s="61" t="s">
        <v>441</v>
      </c>
      <c r="I389" s="61" t="s">
        <v>442</v>
      </c>
      <c r="J389" s="61" t="s">
        <v>443</v>
      </c>
      <c r="K389" s="61" t="s">
        <v>443</v>
      </c>
      <c r="L389" s="64">
        <v>0</v>
      </c>
      <c r="M389" s="64">
        <v>29.643999999999998</v>
      </c>
      <c r="N389" s="64">
        <v>38.479999999999997</v>
      </c>
      <c r="O389" s="61" t="s">
        <v>444</v>
      </c>
      <c r="P389" s="64">
        <v>5853.73</v>
      </c>
      <c r="Q389" s="65">
        <v>64.06</v>
      </c>
      <c r="R389" s="65">
        <v>33.369999999999997</v>
      </c>
      <c r="S389" s="65">
        <v>0</v>
      </c>
      <c r="T389" s="65">
        <v>0</v>
      </c>
      <c r="U389" s="65">
        <v>97.43</v>
      </c>
    </row>
    <row r="390" spans="1:21" s="61" customFormat="1" hidden="1" x14ac:dyDescent="0.25">
      <c r="A390" s="62">
        <v>400804</v>
      </c>
      <c r="B390" s="61" t="s">
        <v>445</v>
      </c>
      <c r="C390" s="63">
        <v>39322</v>
      </c>
      <c r="D390" s="63">
        <v>39322.333333333336</v>
      </c>
      <c r="E390" s="61" t="s">
        <v>446</v>
      </c>
      <c r="F390" s="61" t="s">
        <v>522</v>
      </c>
      <c r="G390" s="61" t="s">
        <v>510</v>
      </c>
      <c r="H390" s="61" t="s">
        <v>441</v>
      </c>
      <c r="I390" s="61" t="s">
        <v>454</v>
      </c>
      <c r="J390" s="61" t="s">
        <v>443</v>
      </c>
      <c r="K390" s="61" t="s">
        <v>443</v>
      </c>
      <c r="L390" s="64">
        <v>0</v>
      </c>
      <c r="M390" s="64">
        <v>0</v>
      </c>
      <c r="N390" s="64">
        <v>3.4409999999999998</v>
      </c>
      <c r="O390" s="61" t="s">
        <v>444</v>
      </c>
      <c r="P390" s="64">
        <v>20000</v>
      </c>
      <c r="Q390" s="65">
        <v>557.04</v>
      </c>
      <c r="R390" s="65">
        <v>290.2</v>
      </c>
      <c r="S390" s="65">
        <v>0</v>
      </c>
      <c r="T390" s="65">
        <v>0</v>
      </c>
      <c r="U390" s="65">
        <v>847.24</v>
      </c>
    </row>
    <row r="391" spans="1:21" s="61" customFormat="1" hidden="1" x14ac:dyDescent="0.25">
      <c r="A391" s="62">
        <v>400261</v>
      </c>
      <c r="B391" s="61" t="s">
        <v>437</v>
      </c>
      <c r="C391" s="63">
        <v>39322</v>
      </c>
      <c r="D391" s="63">
        <v>39344</v>
      </c>
      <c r="E391" s="61" t="s">
        <v>450</v>
      </c>
      <c r="F391" s="61" t="s">
        <v>515</v>
      </c>
      <c r="G391" s="61" t="s">
        <v>511</v>
      </c>
      <c r="H391" s="61" t="s">
        <v>441</v>
      </c>
      <c r="I391" s="61" t="s">
        <v>442</v>
      </c>
      <c r="J391" s="61" t="s">
        <v>443</v>
      </c>
      <c r="K391" s="61" t="s">
        <v>443</v>
      </c>
      <c r="L391" s="64">
        <v>0</v>
      </c>
      <c r="M391" s="64">
        <v>0</v>
      </c>
      <c r="N391" s="64">
        <v>28.173999999999999</v>
      </c>
      <c r="O391" s="61" t="s">
        <v>444</v>
      </c>
      <c r="P391" s="64">
        <v>12410</v>
      </c>
      <c r="Q391" s="65">
        <v>9585.98</v>
      </c>
      <c r="R391" s="65">
        <v>10899.6</v>
      </c>
      <c r="S391" s="65">
        <v>1586.31</v>
      </c>
      <c r="T391" s="65">
        <v>0</v>
      </c>
      <c r="U391" s="65">
        <v>22071.89</v>
      </c>
    </row>
    <row r="392" spans="1:21" s="61" customFormat="1" hidden="1" x14ac:dyDescent="0.25">
      <c r="A392" s="62">
        <v>400261</v>
      </c>
      <c r="B392" s="61" t="s">
        <v>437</v>
      </c>
      <c r="C392" s="63">
        <v>39322</v>
      </c>
      <c r="D392" s="63">
        <v>39344</v>
      </c>
      <c r="E392" s="61" t="s">
        <v>450</v>
      </c>
      <c r="F392" s="61" t="s">
        <v>515</v>
      </c>
      <c r="G392" s="61" t="s">
        <v>511</v>
      </c>
      <c r="H392" s="61" t="s">
        <v>441</v>
      </c>
      <c r="I392" s="61" t="s">
        <v>442</v>
      </c>
      <c r="J392" s="61" t="s">
        <v>443</v>
      </c>
      <c r="K392" s="61" t="s">
        <v>443</v>
      </c>
      <c r="L392" s="64">
        <v>0</v>
      </c>
      <c r="M392" s="64">
        <v>29.643999999999998</v>
      </c>
      <c r="N392" s="64">
        <v>38.479999999999997</v>
      </c>
      <c r="O392" s="61" t="s">
        <v>444</v>
      </c>
      <c r="P392" s="64">
        <v>3910</v>
      </c>
      <c r="Q392" s="65">
        <v>3020.24</v>
      </c>
      <c r="R392" s="65">
        <v>3434.12</v>
      </c>
      <c r="S392" s="65">
        <v>499.8</v>
      </c>
      <c r="T392" s="65">
        <v>0</v>
      </c>
      <c r="U392" s="65">
        <v>6954.16</v>
      </c>
    </row>
    <row r="393" spans="1:21" s="61" customFormat="1" hidden="1" x14ac:dyDescent="0.25">
      <c r="A393" s="62">
        <v>397698</v>
      </c>
      <c r="B393" s="61" t="s">
        <v>437</v>
      </c>
      <c r="C393" s="63">
        <v>39314</v>
      </c>
      <c r="D393" s="63">
        <v>39325</v>
      </c>
      <c r="E393" s="61" t="s">
        <v>450</v>
      </c>
      <c r="F393" s="61" t="s">
        <v>523</v>
      </c>
      <c r="G393" s="61" t="s">
        <v>511</v>
      </c>
      <c r="H393" s="61" t="s">
        <v>441</v>
      </c>
      <c r="I393" s="61" t="s">
        <v>442</v>
      </c>
      <c r="J393" s="61" t="s">
        <v>443</v>
      </c>
      <c r="K393" s="61" t="s">
        <v>443</v>
      </c>
      <c r="L393" s="64">
        <v>0</v>
      </c>
      <c r="M393" s="64">
        <v>0</v>
      </c>
      <c r="N393" s="64">
        <v>28.173999999999999</v>
      </c>
      <c r="O393" s="61" t="s">
        <v>444</v>
      </c>
      <c r="P393" s="64">
        <v>7.49</v>
      </c>
      <c r="Q393" s="65">
        <v>994.14</v>
      </c>
      <c r="R393" s="65">
        <v>1548.35</v>
      </c>
      <c r="S393" s="65">
        <v>0</v>
      </c>
      <c r="T393" s="65">
        <v>0</v>
      </c>
      <c r="U393" s="65">
        <v>2542.4899999999998</v>
      </c>
    </row>
    <row r="394" spans="1:21" s="61" customFormat="1" hidden="1" x14ac:dyDescent="0.25">
      <c r="A394" s="62">
        <v>397698</v>
      </c>
      <c r="B394" s="61" t="s">
        <v>437</v>
      </c>
      <c r="C394" s="63">
        <v>39314</v>
      </c>
      <c r="D394" s="63">
        <v>39325</v>
      </c>
      <c r="E394" s="61" t="s">
        <v>450</v>
      </c>
      <c r="F394" s="61" t="s">
        <v>523</v>
      </c>
      <c r="G394" s="61" t="s">
        <v>511</v>
      </c>
      <c r="H394" s="61" t="s">
        <v>441</v>
      </c>
      <c r="I394" s="61" t="s">
        <v>442</v>
      </c>
      <c r="J394" s="61" t="s">
        <v>443</v>
      </c>
      <c r="K394" s="61" t="s">
        <v>443</v>
      </c>
      <c r="L394" s="64">
        <v>0</v>
      </c>
      <c r="M394" s="64">
        <v>29.643999999999998</v>
      </c>
      <c r="N394" s="64">
        <v>38.479999999999997</v>
      </c>
      <c r="O394" s="61" t="s">
        <v>444</v>
      </c>
      <c r="P394" s="64">
        <v>2.36</v>
      </c>
      <c r="Q394" s="65">
        <v>313.22000000000003</v>
      </c>
      <c r="R394" s="65">
        <v>487.84</v>
      </c>
      <c r="S394" s="65">
        <v>0</v>
      </c>
      <c r="T394" s="65">
        <v>0</v>
      </c>
      <c r="U394" s="65">
        <v>801.06</v>
      </c>
    </row>
    <row r="395" spans="1:21" s="61" customFormat="1" hidden="1" x14ac:dyDescent="0.25">
      <c r="A395" s="62">
        <v>391586</v>
      </c>
      <c r="B395" s="61" t="s">
        <v>472</v>
      </c>
      <c r="C395" s="63">
        <v>39296</v>
      </c>
      <c r="D395" s="63">
        <v>39331.333333333336</v>
      </c>
      <c r="E395" s="61" t="s">
        <v>500</v>
      </c>
      <c r="F395" s="61" t="s">
        <v>524</v>
      </c>
      <c r="G395" s="61" t="s">
        <v>511</v>
      </c>
      <c r="H395" s="61" t="s">
        <v>441</v>
      </c>
      <c r="I395" s="61" t="s">
        <v>442</v>
      </c>
      <c r="J395" s="61" t="s">
        <v>443</v>
      </c>
      <c r="K395" s="61" t="s">
        <v>443</v>
      </c>
      <c r="L395" s="64">
        <v>0</v>
      </c>
      <c r="M395" s="64">
        <v>0</v>
      </c>
      <c r="N395" s="64">
        <v>28.173999999999999</v>
      </c>
      <c r="O395" s="61" t="s">
        <v>444</v>
      </c>
      <c r="P395" s="64">
        <v>27.74</v>
      </c>
      <c r="Q395" s="65">
        <v>886.83</v>
      </c>
      <c r="R395" s="65">
        <v>501.19</v>
      </c>
      <c r="S395" s="65">
        <v>733.69</v>
      </c>
      <c r="T395" s="65">
        <v>0</v>
      </c>
      <c r="U395" s="65">
        <v>2121.71</v>
      </c>
    </row>
    <row r="396" spans="1:21" s="61" customFormat="1" hidden="1" x14ac:dyDescent="0.25">
      <c r="A396" s="62">
        <v>391586</v>
      </c>
      <c r="B396" s="61" t="s">
        <v>472</v>
      </c>
      <c r="C396" s="63">
        <v>39296</v>
      </c>
      <c r="D396" s="63">
        <v>39331.333333333336</v>
      </c>
      <c r="E396" s="61" t="s">
        <v>500</v>
      </c>
      <c r="F396" s="61" t="s">
        <v>524</v>
      </c>
      <c r="G396" s="61" t="s">
        <v>511</v>
      </c>
      <c r="H396" s="61" t="s">
        <v>441</v>
      </c>
      <c r="I396" s="61" t="s">
        <v>442</v>
      </c>
      <c r="J396" s="61" t="s">
        <v>443</v>
      </c>
      <c r="K396" s="61" t="s">
        <v>443</v>
      </c>
      <c r="L396" s="64">
        <v>0</v>
      </c>
      <c r="M396" s="64">
        <v>29.643999999999998</v>
      </c>
      <c r="N396" s="64">
        <v>38.479999999999997</v>
      </c>
      <c r="O396" s="61" t="s">
        <v>444</v>
      </c>
      <c r="P396" s="64">
        <v>8.74</v>
      </c>
      <c r="Q396" s="65">
        <v>279.41000000000003</v>
      </c>
      <c r="R396" s="65">
        <v>157.91</v>
      </c>
      <c r="S396" s="65">
        <v>231.16</v>
      </c>
      <c r="T396" s="65">
        <v>0</v>
      </c>
      <c r="U396" s="65">
        <v>668.48</v>
      </c>
    </row>
    <row r="397" spans="1:21" s="61" customFormat="1" hidden="1" x14ac:dyDescent="0.25">
      <c r="A397" s="62">
        <v>390895</v>
      </c>
      <c r="B397" s="61" t="s">
        <v>437</v>
      </c>
      <c r="C397" s="63">
        <v>39293</v>
      </c>
      <c r="D397" s="63">
        <v>39293.333333333336</v>
      </c>
      <c r="E397" s="61" t="s">
        <v>450</v>
      </c>
      <c r="F397" s="61" t="s">
        <v>525</v>
      </c>
      <c r="G397" s="61" t="s">
        <v>510</v>
      </c>
      <c r="H397" s="61" t="s">
        <v>441</v>
      </c>
      <c r="I397" s="61" t="s">
        <v>454</v>
      </c>
      <c r="J397" s="61" t="s">
        <v>443</v>
      </c>
      <c r="K397" s="61" t="s">
        <v>443</v>
      </c>
      <c r="L397" s="64">
        <v>0</v>
      </c>
      <c r="M397" s="64">
        <v>0</v>
      </c>
      <c r="N397" s="64">
        <v>3.4409999999999998</v>
      </c>
      <c r="O397" s="61" t="s">
        <v>444</v>
      </c>
      <c r="P397" s="64">
        <v>2</v>
      </c>
      <c r="Q397" s="65">
        <v>334.56</v>
      </c>
      <c r="R397" s="65">
        <v>129.36000000000001</v>
      </c>
      <c r="S397" s="65">
        <v>0</v>
      </c>
      <c r="T397" s="65">
        <v>0</v>
      </c>
      <c r="U397" s="65">
        <v>463.92</v>
      </c>
    </row>
    <row r="398" spans="1:21" s="61" customFormat="1" hidden="1" x14ac:dyDescent="0.25">
      <c r="A398" s="62">
        <v>388859</v>
      </c>
      <c r="B398" s="61" t="s">
        <v>472</v>
      </c>
      <c r="C398" s="63">
        <v>39303</v>
      </c>
      <c r="D398" s="63">
        <v>39329.333333333336</v>
      </c>
      <c r="E398" s="61" t="s">
        <v>500</v>
      </c>
      <c r="F398" s="61" t="s">
        <v>526</v>
      </c>
      <c r="G398" s="61" t="s">
        <v>511</v>
      </c>
      <c r="H398" s="61" t="s">
        <v>441</v>
      </c>
      <c r="I398" s="61" t="s">
        <v>442</v>
      </c>
      <c r="J398" s="61" t="s">
        <v>443</v>
      </c>
      <c r="K398" s="61" t="s">
        <v>443</v>
      </c>
      <c r="L398" s="64">
        <v>0</v>
      </c>
      <c r="M398" s="64">
        <v>0</v>
      </c>
      <c r="N398" s="64">
        <v>28.173999999999999</v>
      </c>
      <c r="O398" s="61" t="s">
        <v>444</v>
      </c>
      <c r="P398" s="64">
        <v>8.0299999999999994</v>
      </c>
      <c r="Q398" s="65">
        <v>1127.44</v>
      </c>
      <c r="R398" s="65">
        <v>300.76</v>
      </c>
      <c r="S398" s="65">
        <v>175.94</v>
      </c>
      <c r="T398" s="65">
        <v>0</v>
      </c>
      <c r="U398" s="65">
        <v>1604.15</v>
      </c>
    </row>
    <row r="399" spans="1:21" s="61" customFormat="1" hidden="1" x14ac:dyDescent="0.25">
      <c r="A399" s="62">
        <v>388859</v>
      </c>
      <c r="B399" s="61" t="s">
        <v>472</v>
      </c>
      <c r="C399" s="63">
        <v>39303</v>
      </c>
      <c r="D399" s="63">
        <v>39329.333333333336</v>
      </c>
      <c r="E399" s="61" t="s">
        <v>500</v>
      </c>
      <c r="F399" s="61" t="s">
        <v>526</v>
      </c>
      <c r="G399" s="61" t="s">
        <v>511</v>
      </c>
      <c r="H399" s="61" t="s">
        <v>441</v>
      </c>
      <c r="I399" s="61" t="s">
        <v>442</v>
      </c>
      <c r="J399" s="61" t="s">
        <v>443</v>
      </c>
      <c r="K399" s="61" t="s">
        <v>443</v>
      </c>
      <c r="L399" s="64">
        <v>0</v>
      </c>
      <c r="M399" s="64">
        <v>29.643999999999998</v>
      </c>
      <c r="N399" s="64">
        <v>38.479999999999997</v>
      </c>
      <c r="O399" s="61" t="s">
        <v>444</v>
      </c>
      <c r="P399" s="64">
        <v>2.5299999999999998</v>
      </c>
      <c r="Q399" s="65">
        <v>355.22</v>
      </c>
      <c r="R399" s="65">
        <v>94.76</v>
      </c>
      <c r="S399" s="65">
        <v>55.43</v>
      </c>
      <c r="T399" s="65">
        <v>0</v>
      </c>
      <c r="U399" s="65">
        <v>505.42</v>
      </c>
    </row>
    <row r="400" spans="1:21" s="61" customFormat="1" hidden="1" x14ac:dyDescent="0.25">
      <c r="A400" s="62">
        <v>388071</v>
      </c>
      <c r="B400" s="61" t="s">
        <v>437</v>
      </c>
      <c r="C400" s="63">
        <v>39287</v>
      </c>
      <c r="D400" s="63">
        <v>39290</v>
      </c>
      <c r="E400" s="61" t="s">
        <v>450</v>
      </c>
      <c r="F400" s="61" t="s">
        <v>527</v>
      </c>
      <c r="G400" s="61" t="s">
        <v>511</v>
      </c>
      <c r="H400" s="61" t="s">
        <v>441</v>
      </c>
      <c r="I400" s="61" t="s">
        <v>442</v>
      </c>
      <c r="J400" s="61" t="s">
        <v>443</v>
      </c>
      <c r="K400" s="61" t="s">
        <v>443</v>
      </c>
      <c r="L400" s="64">
        <v>0</v>
      </c>
      <c r="M400" s="64">
        <v>0</v>
      </c>
      <c r="N400" s="64">
        <v>28.173999999999999</v>
      </c>
      <c r="O400" s="61" t="s">
        <v>444</v>
      </c>
      <c r="P400" s="64">
        <v>99.28</v>
      </c>
      <c r="Q400" s="65">
        <v>2252.31</v>
      </c>
      <c r="R400" s="65">
        <v>451.67</v>
      </c>
      <c r="S400" s="65">
        <v>0</v>
      </c>
      <c r="T400" s="65">
        <v>0</v>
      </c>
      <c r="U400" s="65">
        <v>2703.98</v>
      </c>
    </row>
    <row r="401" spans="1:21" s="61" customFormat="1" hidden="1" x14ac:dyDescent="0.25">
      <c r="A401" s="62">
        <v>388071</v>
      </c>
      <c r="B401" s="61" t="s">
        <v>437</v>
      </c>
      <c r="C401" s="63">
        <v>39287</v>
      </c>
      <c r="D401" s="63">
        <v>39290</v>
      </c>
      <c r="E401" s="61" t="s">
        <v>450</v>
      </c>
      <c r="F401" s="61" t="s">
        <v>527</v>
      </c>
      <c r="G401" s="61" t="s">
        <v>511</v>
      </c>
      <c r="H401" s="61" t="s">
        <v>441</v>
      </c>
      <c r="I401" s="61" t="s">
        <v>442</v>
      </c>
      <c r="J401" s="61" t="s">
        <v>443</v>
      </c>
      <c r="K401" s="61" t="s">
        <v>443</v>
      </c>
      <c r="L401" s="64">
        <v>0</v>
      </c>
      <c r="M401" s="64">
        <v>29.643999999999998</v>
      </c>
      <c r="N401" s="64">
        <v>38.479999999999997</v>
      </c>
      <c r="O401" s="61" t="s">
        <v>444</v>
      </c>
      <c r="P401" s="64">
        <v>31.28</v>
      </c>
      <c r="Q401" s="65">
        <v>709.63</v>
      </c>
      <c r="R401" s="65">
        <v>142.31</v>
      </c>
      <c r="S401" s="65">
        <v>0</v>
      </c>
      <c r="T401" s="65">
        <v>0</v>
      </c>
      <c r="U401" s="65">
        <v>851.94</v>
      </c>
    </row>
    <row r="402" spans="1:21" s="61" customFormat="1" hidden="1" x14ac:dyDescent="0.25">
      <c r="A402" s="62">
        <v>387513</v>
      </c>
      <c r="B402" s="61" t="s">
        <v>437</v>
      </c>
      <c r="C402" s="63">
        <v>39286</v>
      </c>
      <c r="D402" s="63">
        <v>39325</v>
      </c>
      <c r="E402" s="61" t="s">
        <v>450</v>
      </c>
      <c r="F402" s="61" t="s">
        <v>515</v>
      </c>
      <c r="G402" s="61" t="s">
        <v>511</v>
      </c>
      <c r="H402" s="61" t="s">
        <v>441</v>
      </c>
      <c r="I402" s="61" t="s">
        <v>442</v>
      </c>
      <c r="J402" s="61" t="s">
        <v>443</v>
      </c>
      <c r="K402" s="61" t="s">
        <v>443</v>
      </c>
      <c r="L402" s="64">
        <v>0</v>
      </c>
      <c r="M402" s="64">
        <v>0</v>
      </c>
      <c r="N402" s="64">
        <v>28.173999999999999</v>
      </c>
      <c r="O402" s="61" t="s">
        <v>444</v>
      </c>
      <c r="P402" s="64">
        <v>8760</v>
      </c>
      <c r="Q402" s="65">
        <v>7120.8</v>
      </c>
      <c r="R402" s="65">
        <v>6194.78</v>
      </c>
      <c r="S402" s="65">
        <v>855.01</v>
      </c>
      <c r="T402" s="65">
        <v>0</v>
      </c>
      <c r="U402" s="65">
        <v>14170.59</v>
      </c>
    </row>
    <row r="403" spans="1:21" s="61" customFormat="1" hidden="1" x14ac:dyDescent="0.25">
      <c r="A403" s="62">
        <v>387513</v>
      </c>
      <c r="B403" s="61" t="s">
        <v>437</v>
      </c>
      <c r="C403" s="63">
        <v>39286</v>
      </c>
      <c r="D403" s="63">
        <v>39325</v>
      </c>
      <c r="E403" s="61" t="s">
        <v>450</v>
      </c>
      <c r="F403" s="61" t="s">
        <v>515</v>
      </c>
      <c r="G403" s="61" t="s">
        <v>511</v>
      </c>
      <c r="H403" s="61" t="s">
        <v>441</v>
      </c>
      <c r="I403" s="61" t="s">
        <v>442</v>
      </c>
      <c r="J403" s="61" t="s">
        <v>443</v>
      </c>
      <c r="K403" s="61" t="s">
        <v>443</v>
      </c>
      <c r="L403" s="64">
        <v>0</v>
      </c>
      <c r="M403" s="64">
        <v>29.643999999999998</v>
      </c>
      <c r="N403" s="64">
        <v>38.479999999999997</v>
      </c>
      <c r="O403" s="61" t="s">
        <v>444</v>
      </c>
      <c r="P403" s="64">
        <v>2760</v>
      </c>
      <c r="Q403" s="65">
        <v>2243.54</v>
      </c>
      <c r="R403" s="65">
        <v>1951.78</v>
      </c>
      <c r="S403" s="65">
        <v>269.39</v>
      </c>
      <c r="T403" s="65">
        <v>0</v>
      </c>
      <c r="U403" s="65">
        <v>4464.71</v>
      </c>
    </row>
    <row r="404" spans="1:21" s="61" customFormat="1" hidden="1" x14ac:dyDescent="0.25">
      <c r="A404" s="62">
        <v>385612</v>
      </c>
      <c r="B404" s="61" t="s">
        <v>437</v>
      </c>
      <c r="C404" s="63">
        <v>39290</v>
      </c>
      <c r="D404" s="63">
        <v>39311.333333333336</v>
      </c>
      <c r="E404" s="61" t="s">
        <v>450</v>
      </c>
      <c r="F404" s="61" t="s">
        <v>523</v>
      </c>
      <c r="G404" s="61" t="s">
        <v>511</v>
      </c>
      <c r="H404" s="61" t="s">
        <v>441</v>
      </c>
      <c r="I404" s="61" t="s">
        <v>442</v>
      </c>
      <c r="J404" s="61" t="s">
        <v>443</v>
      </c>
      <c r="K404" s="61" t="s">
        <v>443</v>
      </c>
      <c r="L404" s="64">
        <v>0</v>
      </c>
      <c r="M404" s="64">
        <v>0</v>
      </c>
      <c r="N404" s="64">
        <v>28.173999999999999</v>
      </c>
      <c r="O404" s="61" t="s">
        <v>444</v>
      </c>
      <c r="P404" s="64">
        <v>27.46</v>
      </c>
      <c r="Q404" s="65">
        <v>2060.6799999999998</v>
      </c>
      <c r="R404" s="65">
        <v>3019.28</v>
      </c>
      <c r="S404" s="65">
        <v>0</v>
      </c>
      <c r="T404" s="65">
        <v>0</v>
      </c>
      <c r="U404" s="65">
        <v>5079.96</v>
      </c>
    </row>
    <row r="405" spans="1:21" s="61" customFormat="1" hidden="1" x14ac:dyDescent="0.25">
      <c r="A405" s="62">
        <v>385612</v>
      </c>
      <c r="B405" s="61" t="s">
        <v>437</v>
      </c>
      <c r="C405" s="63">
        <v>39290</v>
      </c>
      <c r="D405" s="63">
        <v>39311.333333333336</v>
      </c>
      <c r="E405" s="61" t="s">
        <v>450</v>
      </c>
      <c r="F405" s="61" t="s">
        <v>523</v>
      </c>
      <c r="G405" s="61" t="s">
        <v>511</v>
      </c>
      <c r="H405" s="61" t="s">
        <v>441</v>
      </c>
      <c r="I405" s="61" t="s">
        <v>442</v>
      </c>
      <c r="J405" s="61" t="s">
        <v>443</v>
      </c>
      <c r="K405" s="61" t="s">
        <v>443</v>
      </c>
      <c r="L405" s="64">
        <v>0</v>
      </c>
      <c r="M405" s="64">
        <v>29.643999999999998</v>
      </c>
      <c r="N405" s="64">
        <v>38.479999999999997</v>
      </c>
      <c r="O405" s="61" t="s">
        <v>444</v>
      </c>
      <c r="P405" s="64">
        <v>8.65</v>
      </c>
      <c r="Q405" s="65">
        <v>649.26</v>
      </c>
      <c r="R405" s="65">
        <v>951.28</v>
      </c>
      <c r="S405" s="65">
        <v>0</v>
      </c>
      <c r="T405" s="65">
        <v>0</v>
      </c>
      <c r="U405" s="65">
        <v>1600.54</v>
      </c>
    </row>
    <row r="406" spans="1:21" s="61" customFormat="1" hidden="1" x14ac:dyDescent="0.25">
      <c r="A406" s="62">
        <v>383372</v>
      </c>
      <c r="B406" s="61" t="s">
        <v>445</v>
      </c>
      <c r="C406" s="63">
        <v>39273</v>
      </c>
      <c r="D406" s="63">
        <v>39273.333333333336</v>
      </c>
      <c r="E406" s="61" t="s">
        <v>446</v>
      </c>
      <c r="F406" s="61" t="s">
        <v>514</v>
      </c>
      <c r="G406" s="61" t="s">
        <v>511</v>
      </c>
      <c r="H406" s="61" t="s">
        <v>441</v>
      </c>
      <c r="I406" s="61" t="s">
        <v>442</v>
      </c>
      <c r="J406" s="61" t="s">
        <v>443</v>
      </c>
      <c r="K406" s="61" t="s">
        <v>443</v>
      </c>
      <c r="L406" s="64">
        <v>0</v>
      </c>
      <c r="M406" s="64">
        <v>0</v>
      </c>
      <c r="N406" s="64">
        <v>28.173999999999999</v>
      </c>
      <c r="O406" s="61" t="s">
        <v>444</v>
      </c>
      <c r="P406" s="64">
        <v>5.48</v>
      </c>
      <c r="Q406" s="65">
        <v>135.55000000000001</v>
      </c>
      <c r="R406" s="65">
        <v>37.93</v>
      </c>
      <c r="S406" s="65">
        <v>0</v>
      </c>
      <c r="T406" s="65">
        <v>0</v>
      </c>
      <c r="U406" s="65">
        <v>173.48</v>
      </c>
    </row>
    <row r="407" spans="1:21" s="61" customFormat="1" hidden="1" x14ac:dyDescent="0.25">
      <c r="A407" s="62">
        <v>383372</v>
      </c>
      <c r="B407" s="61" t="s">
        <v>445</v>
      </c>
      <c r="C407" s="63">
        <v>39273</v>
      </c>
      <c r="D407" s="63">
        <v>39273.333333333336</v>
      </c>
      <c r="E407" s="61" t="s">
        <v>446</v>
      </c>
      <c r="F407" s="61" t="s">
        <v>514</v>
      </c>
      <c r="G407" s="61" t="s">
        <v>511</v>
      </c>
      <c r="H407" s="61" t="s">
        <v>441</v>
      </c>
      <c r="I407" s="61" t="s">
        <v>442</v>
      </c>
      <c r="J407" s="61" t="s">
        <v>443</v>
      </c>
      <c r="K407" s="61" t="s">
        <v>443</v>
      </c>
      <c r="L407" s="64">
        <v>0</v>
      </c>
      <c r="M407" s="64">
        <v>29.643999999999998</v>
      </c>
      <c r="N407" s="64">
        <v>38.479999999999997</v>
      </c>
      <c r="O407" s="61" t="s">
        <v>444</v>
      </c>
      <c r="P407" s="64">
        <v>1.73</v>
      </c>
      <c r="Q407" s="65">
        <v>42.71</v>
      </c>
      <c r="R407" s="65">
        <v>11.95</v>
      </c>
      <c r="S407" s="65">
        <v>0</v>
      </c>
      <c r="T407" s="65">
        <v>0</v>
      </c>
      <c r="U407" s="65">
        <v>54.66</v>
      </c>
    </row>
    <row r="408" spans="1:21" s="61" customFormat="1" hidden="1" x14ac:dyDescent="0.25">
      <c r="A408" s="62">
        <v>380942</v>
      </c>
      <c r="B408" s="61" t="s">
        <v>472</v>
      </c>
      <c r="C408" s="63">
        <v>39266</v>
      </c>
      <c r="D408" s="63">
        <v>39324.333333333336</v>
      </c>
      <c r="E408" s="61" t="s">
        <v>500</v>
      </c>
      <c r="F408" s="61" t="s">
        <v>528</v>
      </c>
      <c r="G408" s="61" t="s">
        <v>511</v>
      </c>
      <c r="H408" s="61" t="s">
        <v>441</v>
      </c>
      <c r="I408" s="61" t="s">
        <v>442</v>
      </c>
      <c r="J408" s="61" t="s">
        <v>443</v>
      </c>
      <c r="K408" s="61" t="s">
        <v>443</v>
      </c>
      <c r="L408" s="64">
        <v>0</v>
      </c>
      <c r="M408" s="64">
        <v>0</v>
      </c>
      <c r="N408" s="64">
        <v>28.173999999999999</v>
      </c>
      <c r="O408" s="61" t="s">
        <v>444</v>
      </c>
      <c r="P408" s="64">
        <v>61.32</v>
      </c>
      <c r="Q408" s="65">
        <v>1397.31</v>
      </c>
      <c r="R408" s="65">
        <v>797.16</v>
      </c>
      <c r="S408" s="65">
        <v>99.27</v>
      </c>
      <c r="T408" s="65">
        <v>0</v>
      </c>
      <c r="U408" s="65">
        <v>2293.7399999999998</v>
      </c>
    </row>
    <row r="409" spans="1:21" s="61" customFormat="1" hidden="1" x14ac:dyDescent="0.25">
      <c r="A409" s="62">
        <v>380942</v>
      </c>
      <c r="B409" s="61" t="s">
        <v>472</v>
      </c>
      <c r="C409" s="63">
        <v>39266</v>
      </c>
      <c r="D409" s="63">
        <v>39324.333333333336</v>
      </c>
      <c r="E409" s="61" t="s">
        <v>500</v>
      </c>
      <c r="F409" s="61" t="s">
        <v>528</v>
      </c>
      <c r="G409" s="61" t="s">
        <v>511</v>
      </c>
      <c r="H409" s="61" t="s">
        <v>441</v>
      </c>
      <c r="I409" s="61" t="s">
        <v>442</v>
      </c>
      <c r="J409" s="61" t="s">
        <v>443</v>
      </c>
      <c r="K409" s="61" t="s">
        <v>443</v>
      </c>
      <c r="L409" s="64">
        <v>0</v>
      </c>
      <c r="M409" s="64">
        <v>29.643999999999998</v>
      </c>
      <c r="N409" s="64">
        <v>38.479999999999997</v>
      </c>
      <c r="O409" s="61" t="s">
        <v>444</v>
      </c>
      <c r="P409" s="64">
        <v>19.32</v>
      </c>
      <c r="Q409" s="65">
        <v>440.25</v>
      </c>
      <c r="R409" s="65">
        <v>251.16</v>
      </c>
      <c r="S409" s="65">
        <v>31.28</v>
      </c>
      <c r="T409" s="65">
        <v>0</v>
      </c>
      <c r="U409" s="65">
        <v>722.69</v>
      </c>
    </row>
    <row r="410" spans="1:21" s="61" customFormat="1" hidden="1" x14ac:dyDescent="0.25">
      <c r="A410" s="62">
        <v>374194</v>
      </c>
      <c r="B410" s="61" t="s">
        <v>445</v>
      </c>
      <c r="C410" s="63">
        <v>39244</v>
      </c>
      <c r="D410" s="63">
        <v>39244.333333333336</v>
      </c>
      <c r="E410" s="61" t="s">
        <v>446</v>
      </c>
      <c r="F410" s="61" t="s">
        <v>516</v>
      </c>
      <c r="G410" s="61" t="s">
        <v>511</v>
      </c>
      <c r="H410" s="61" t="s">
        <v>441</v>
      </c>
      <c r="I410" s="61" t="s">
        <v>442</v>
      </c>
      <c r="J410" s="61" t="s">
        <v>443</v>
      </c>
      <c r="K410" s="61" t="s">
        <v>443</v>
      </c>
      <c r="L410" s="64">
        <v>0</v>
      </c>
      <c r="M410" s="64">
        <v>0</v>
      </c>
      <c r="N410" s="64">
        <v>28.173999999999999</v>
      </c>
      <c r="O410" s="61" t="s">
        <v>444</v>
      </c>
      <c r="P410" s="64">
        <v>2.19</v>
      </c>
      <c r="Q410" s="65">
        <v>67.77</v>
      </c>
      <c r="R410" s="65">
        <v>18.97</v>
      </c>
      <c r="S410" s="65">
        <v>0</v>
      </c>
      <c r="T410" s="65">
        <v>0</v>
      </c>
      <c r="U410" s="65">
        <v>86.74</v>
      </c>
    </row>
    <row r="411" spans="1:21" s="61" customFormat="1" hidden="1" x14ac:dyDescent="0.25">
      <c r="A411" s="62">
        <v>374194</v>
      </c>
      <c r="B411" s="61" t="s">
        <v>445</v>
      </c>
      <c r="C411" s="63">
        <v>39244</v>
      </c>
      <c r="D411" s="63">
        <v>39244.333333333336</v>
      </c>
      <c r="E411" s="61" t="s">
        <v>446</v>
      </c>
      <c r="F411" s="61" t="s">
        <v>516</v>
      </c>
      <c r="G411" s="61" t="s">
        <v>511</v>
      </c>
      <c r="H411" s="61" t="s">
        <v>441</v>
      </c>
      <c r="I411" s="61" t="s">
        <v>442</v>
      </c>
      <c r="J411" s="61" t="s">
        <v>443</v>
      </c>
      <c r="K411" s="61" t="s">
        <v>443</v>
      </c>
      <c r="L411" s="64">
        <v>0</v>
      </c>
      <c r="M411" s="64">
        <v>29.643999999999998</v>
      </c>
      <c r="N411" s="64">
        <v>38.479999999999997</v>
      </c>
      <c r="O411" s="61" t="s">
        <v>444</v>
      </c>
      <c r="P411" s="64">
        <v>0.69</v>
      </c>
      <c r="Q411" s="65">
        <v>21.35</v>
      </c>
      <c r="R411" s="65">
        <v>5.98</v>
      </c>
      <c r="S411" s="65">
        <v>0</v>
      </c>
      <c r="T411" s="65">
        <v>0</v>
      </c>
      <c r="U411" s="65">
        <v>27.33</v>
      </c>
    </row>
    <row r="412" spans="1:21" s="61" customFormat="1" hidden="1" x14ac:dyDescent="0.25">
      <c r="A412" s="62">
        <v>374193</v>
      </c>
      <c r="B412" s="61" t="s">
        <v>445</v>
      </c>
      <c r="C412" s="63">
        <v>39244</v>
      </c>
      <c r="D412" s="63">
        <v>39244.333333333336</v>
      </c>
      <c r="E412" s="61" t="s">
        <v>446</v>
      </c>
      <c r="F412" s="61" t="s">
        <v>516</v>
      </c>
      <c r="G412" s="61" t="s">
        <v>511</v>
      </c>
      <c r="H412" s="61" t="s">
        <v>441</v>
      </c>
      <c r="I412" s="61" t="s">
        <v>442</v>
      </c>
      <c r="J412" s="61" t="s">
        <v>443</v>
      </c>
      <c r="K412" s="61" t="s">
        <v>443</v>
      </c>
      <c r="L412" s="64">
        <v>0</v>
      </c>
      <c r="M412" s="64">
        <v>0</v>
      </c>
      <c r="N412" s="64">
        <v>28.173999999999999</v>
      </c>
      <c r="O412" s="61" t="s">
        <v>444</v>
      </c>
      <c r="P412" s="64">
        <v>0.73</v>
      </c>
      <c r="Q412" s="65">
        <v>67.77</v>
      </c>
      <c r="R412" s="65">
        <v>18.97</v>
      </c>
      <c r="S412" s="65">
        <v>0</v>
      </c>
      <c r="T412" s="65">
        <v>0</v>
      </c>
      <c r="U412" s="65">
        <v>86.74</v>
      </c>
    </row>
    <row r="413" spans="1:21" s="61" customFormat="1" hidden="1" x14ac:dyDescent="0.25">
      <c r="A413" s="62">
        <v>374193</v>
      </c>
      <c r="B413" s="61" t="s">
        <v>445</v>
      </c>
      <c r="C413" s="63">
        <v>39244</v>
      </c>
      <c r="D413" s="63">
        <v>39244.333333333336</v>
      </c>
      <c r="E413" s="61" t="s">
        <v>446</v>
      </c>
      <c r="F413" s="61" t="s">
        <v>516</v>
      </c>
      <c r="G413" s="61" t="s">
        <v>511</v>
      </c>
      <c r="H413" s="61" t="s">
        <v>441</v>
      </c>
      <c r="I413" s="61" t="s">
        <v>442</v>
      </c>
      <c r="J413" s="61" t="s">
        <v>443</v>
      </c>
      <c r="K413" s="61" t="s">
        <v>443</v>
      </c>
      <c r="L413" s="64">
        <v>0</v>
      </c>
      <c r="M413" s="64">
        <v>29.643999999999998</v>
      </c>
      <c r="N413" s="64">
        <v>38.479999999999997</v>
      </c>
      <c r="O413" s="61" t="s">
        <v>444</v>
      </c>
      <c r="P413" s="64">
        <v>0.23</v>
      </c>
      <c r="Q413" s="65">
        <v>21.35</v>
      </c>
      <c r="R413" s="65">
        <v>5.98</v>
      </c>
      <c r="S413" s="65">
        <v>0</v>
      </c>
      <c r="T413" s="65">
        <v>0</v>
      </c>
      <c r="U413" s="65">
        <v>27.33</v>
      </c>
    </row>
    <row r="414" spans="1:21" s="61" customFormat="1" hidden="1" x14ac:dyDescent="0.25">
      <c r="A414" s="62">
        <v>371187</v>
      </c>
      <c r="B414" s="61" t="s">
        <v>437</v>
      </c>
      <c r="C414" s="63">
        <v>39237</v>
      </c>
      <c r="D414" s="63">
        <v>39237.333333333336</v>
      </c>
      <c r="E414" s="61" t="s">
        <v>450</v>
      </c>
      <c r="F414" s="61" t="s">
        <v>529</v>
      </c>
      <c r="G414" s="61" t="s">
        <v>511</v>
      </c>
      <c r="H414" s="61" t="s">
        <v>441</v>
      </c>
      <c r="I414" s="61" t="s">
        <v>442</v>
      </c>
      <c r="J414" s="61" t="s">
        <v>443</v>
      </c>
      <c r="K414" s="61" t="s">
        <v>443</v>
      </c>
      <c r="L414" s="64">
        <v>0</v>
      </c>
      <c r="M414" s="64">
        <v>0</v>
      </c>
      <c r="N414" s="64">
        <v>28.173999999999999</v>
      </c>
      <c r="O414" s="61" t="s">
        <v>444</v>
      </c>
      <c r="P414" s="64">
        <v>73</v>
      </c>
      <c r="Q414" s="65">
        <v>607.16999999999996</v>
      </c>
      <c r="R414" s="65">
        <v>0</v>
      </c>
      <c r="S414" s="65">
        <v>0</v>
      </c>
      <c r="T414" s="65">
        <v>0</v>
      </c>
      <c r="U414" s="65">
        <v>607.16999999999996</v>
      </c>
    </row>
    <row r="415" spans="1:21" s="61" customFormat="1" hidden="1" x14ac:dyDescent="0.25">
      <c r="A415" s="62">
        <v>371187</v>
      </c>
      <c r="B415" s="61" t="s">
        <v>437</v>
      </c>
      <c r="C415" s="63">
        <v>39237</v>
      </c>
      <c r="D415" s="63">
        <v>39237.333333333336</v>
      </c>
      <c r="E415" s="61" t="s">
        <v>450</v>
      </c>
      <c r="F415" s="61" t="s">
        <v>529</v>
      </c>
      <c r="G415" s="61" t="s">
        <v>511</v>
      </c>
      <c r="H415" s="61" t="s">
        <v>441</v>
      </c>
      <c r="I415" s="61" t="s">
        <v>442</v>
      </c>
      <c r="J415" s="61" t="s">
        <v>443</v>
      </c>
      <c r="K415" s="61" t="s">
        <v>443</v>
      </c>
      <c r="L415" s="64">
        <v>0</v>
      </c>
      <c r="M415" s="64">
        <v>29.643999999999998</v>
      </c>
      <c r="N415" s="64">
        <v>38.479999999999997</v>
      </c>
      <c r="O415" s="61" t="s">
        <v>444</v>
      </c>
      <c r="P415" s="64">
        <v>23</v>
      </c>
      <c r="Q415" s="65">
        <v>191.3</v>
      </c>
      <c r="R415" s="65">
        <v>0</v>
      </c>
      <c r="S415" s="65">
        <v>0</v>
      </c>
      <c r="T415" s="65">
        <v>0</v>
      </c>
      <c r="U415" s="65">
        <v>191.3</v>
      </c>
    </row>
    <row r="416" spans="1:21" s="61" customFormat="1" hidden="1" x14ac:dyDescent="0.25">
      <c r="A416" s="62">
        <v>370714</v>
      </c>
      <c r="B416" s="61" t="s">
        <v>445</v>
      </c>
      <c r="C416" s="63">
        <v>39233</v>
      </c>
      <c r="D416" s="63">
        <v>39233.333333333336</v>
      </c>
      <c r="E416" s="61" t="s">
        <v>446</v>
      </c>
      <c r="F416" s="61" t="s">
        <v>516</v>
      </c>
      <c r="G416" s="61" t="s">
        <v>511</v>
      </c>
      <c r="H416" s="61" t="s">
        <v>441</v>
      </c>
      <c r="I416" s="61" t="s">
        <v>442</v>
      </c>
      <c r="J416" s="61" t="s">
        <v>443</v>
      </c>
      <c r="K416" s="61" t="s">
        <v>443</v>
      </c>
      <c r="L416" s="64">
        <v>0</v>
      </c>
      <c r="M416" s="64">
        <v>0</v>
      </c>
      <c r="N416" s="64">
        <v>28.173999999999999</v>
      </c>
      <c r="O416" s="61" t="s">
        <v>444</v>
      </c>
      <c r="P416" s="64">
        <v>1.46</v>
      </c>
      <c r="Q416" s="65">
        <v>67.77</v>
      </c>
      <c r="R416" s="65">
        <v>18.97</v>
      </c>
      <c r="S416" s="65">
        <v>0</v>
      </c>
      <c r="T416" s="65">
        <v>0</v>
      </c>
      <c r="U416" s="65">
        <v>86.74</v>
      </c>
    </row>
    <row r="417" spans="1:21" s="61" customFormat="1" hidden="1" x14ac:dyDescent="0.25">
      <c r="A417" s="62">
        <v>370714</v>
      </c>
      <c r="B417" s="61" t="s">
        <v>445</v>
      </c>
      <c r="C417" s="63">
        <v>39233</v>
      </c>
      <c r="D417" s="63">
        <v>39233.333333333336</v>
      </c>
      <c r="E417" s="61" t="s">
        <v>446</v>
      </c>
      <c r="F417" s="61" t="s">
        <v>516</v>
      </c>
      <c r="G417" s="61" t="s">
        <v>511</v>
      </c>
      <c r="H417" s="61" t="s">
        <v>441</v>
      </c>
      <c r="I417" s="61" t="s">
        <v>442</v>
      </c>
      <c r="J417" s="61" t="s">
        <v>443</v>
      </c>
      <c r="K417" s="61" t="s">
        <v>443</v>
      </c>
      <c r="L417" s="64">
        <v>0</v>
      </c>
      <c r="M417" s="64">
        <v>29.643999999999998</v>
      </c>
      <c r="N417" s="64">
        <v>38.479999999999997</v>
      </c>
      <c r="O417" s="61" t="s">
        <v>444</v>
      </c>
      <c r="P417" s="64">
        <v>0.46</v>
      </c>
      <c r="Q417" s="65">
        <v>21.35</v>
      </c>
      <c r="R417" s="65">
        <v>5.98</v>
      </c>
      <c r="S417" s="65">
        <v>0</v>
      </c>
      <c r="T417" s="65">
        <v>0</v>
      </c>
      <c r="U417" s="65">
        <v>27.33</v>
      </c>
    </row>
    <row r="418" spans="1:21" s="61" customFormat="1" hidden="1" x14ac:dyDescent="0.25">
      <c r="A418" s="62">
        <v>358784</v>
      </c>
      <c r="B418" s="61" t="s">
        <v>445</v>
      </c>
      <c r="C418" s="63">
        <v>39201</v>
      </c>
      <c r="D418" s="63">
        <v>39201.333333333336</v>
      </c>
      <c r="E418" s="61" t="s">
        <v>446</v>
      </c>
      <c r="F418" s="61" t="s">
        <v>530</v>
      </c>
      <c r="G418" s="61" t="s">
        <v>511</v>
      </c>
      <c r="H418" s="61" t="s">
        <v>441</v>
      </c>
      <c r="I418" s="61" t="s">
        <v>442</v>
      </c>
      <c r="J418" s="61" t="s">
        <v>443</v>
      </c>
      <c r="K418" s="61" t="s">
        <v>443</v>
      </c>
      <c r="L418" s="64">
        <v>0</v>
      </c>
      <c r="M418" s="64">
        <v>0</v>
      </c>
      <c r="N418" s="64">
        <v>28.173999999999999</v>
      </c>
      <c r="O418" s="61" t="s">
        <v>444</v>
      </c>
      <c r="P418" s="64">
        <v>0</v>
      </c>
      <c r="Q418" s="65">
        <v>0</v>
      </c>
      <c r="R418" s="65">
        <v>0</v>
      </c>
      <c r="S418" s="65">
        <v>0</v>
      </c>
      <c r="T418" s="65">
        <v>0</v>
      </c>
      <c r="U418" s="65">
        <v>0</v>
      </c>
    </row>
    <row r="419" spans="1:21" s="61" customFormat="1" hidden="1" x14ac:dyDescent="0.25">
      <c r="A419" s="62">
        <v>358784</v>
      </c>
      <c r="B419" s="61" t="s">
        <v>445</v>
      </c>
      <c r="C419" s="63">
        <v>39201</v>
      </c>
      <c r="D419" s="63">
        <v>39201.333333333336</v>
      </c>
      <c r="E419" s="61" t="s">
        <v>446</v>
      </c>
      <c r="F419" s="61" t="s">
        <v>530</v>
      </c>
      <c r="G419" s="61" t="s">
        <v>511</v>
      </c>
      <c r="H419" s="61" t="s">
        <v>441</v>
      </c>
      <c r="I419" s="61" t="s">
        <v>442</v>
      </c>
      <c r="J419" s="61" t="s">
        <v>443</v>
      </c>
      <c r="K419" s="61" t="s">
        <v>443</v>
      </c>
      <c r="L419" s="64">
        <v>0</v>
      </c>
      <c r="M419" s="64">
        <v>29.643999999999998</v>
      </c>
      <c r="N419" s="64">
        <v>38.479999999999997</v>
      </c>
      <c r="O419" s="61" t="s">
        <v>444</v>
      </c>
      <c r="P419" s="64">
        <v>0</v>
      </c>
      <c r="Q419" s="65">
        <v>0</v>
      </c>
      <c r="R419" s="65">
        <v>0</v>
      </c>
      <c r="S419" s="65">
        <v>0</v>
      </c>
      <c r="T419" s="65">
        <v>0</v>
      </c>
      <c r="U419" s="65">
        <v>0</v>
      </c>
    </row>
    <row r="420" spans="1:21" s="61" customFormat="1" hidden="1" x14ac:dyDescent="0.25">
      <c r="A420" s="62">
        <v>358041</v>
      </c>
      <c r="B420" s="61" t="s">
        <v>445</v>
      </c>
      <c r="C420" s="63">
        <v>39197</v>
      </c>
      <c r="D420" s="63">
        <v>39197.333333333336</v>
      </c>
      <c r="E420" s="61" t="s">
        <v>446</v>
      </c>
      <c r="F420" s="61" t="s">
        <v>530</v>
      </c>
      <c r="G420" s="61" t="s">
        <v>511</v>
      </c>
      <c r="H420" s="61" t="s">
        <v>441</v>
      </c>
      <c r="I420" s="61" t="s">
        <v>442</v>
      </c>
      <c r="J420" s="61" t="s">
        <v>443</v>
      </c>
      <c r="K420" s="61" t="s">
        <v>443</v>
      </c>
      <c r="L420" s="64">
        <v>0</v>
      </c>
      <c r="M420" s="64">
        <v>0</v>
      </c>
      <c r="N420" s="64">
        <v>28.173999999999999</v>
      </c>
      <c r="O420" s="61" t="s">
        <v>444</v>
      </c>
      <c r="P420" s="64">
        <v>33.58</v>
      </c>
      <c r="Q420" s="65">
        <v>271.08999999999997</v>
      </c>
      <c r="R420" s="65">
        <v>75.86</v>
      </c>
      <c r="S420" s="65">
        <v>0</v>
      </c>
      <c r="T420" s="65">
        <v>0</v>
      </c>
      <c r="U420" s="65">
        <v>346.95</v>
      </c>
    </row>
    <row r="421" spans="1:21" s="61" customFormat="1" hidden="1" x14ac:dyDescent="0.25">
      <c r="A421" s="62">
        <v>358041</v>
      </c>
      <c r="B421" s="61" t="s">
        <v>445</v>
      </c>
      <c r="C421" s="63">
        <v>39197</v>
      </c>
      <c r="D421" s="63">
        <v>39197.333333333336</v>
      </c>
      <c r="E421" s="61" t="s">
        <v>446</v>
      </c>
      <c r="F421" s="61" t="s">
        <v>530</v>
      </c>
      <c r="G421" s="61" t="s">
        <v>511</v>
      </c>
      <c r="H421" s="61" t="s">
        <v>441</v>
      </c>
      <c r="I421" s="61" t="s">
        <v>442</v>
      </c>
      <c r="J421" s="61" t="s">
        <v>443</v>
      </c>
      <c r="K421" s="61" t="s">
        <v>443</v>
      </c>
      <c r="L421" s="64">
        <v>0</v>
      </c>
      <c r="M421" s="64">
        <v>29.643999999999998</v>
      </c>
      <c r="N421" s="64">
        <v>38.479999999999997</v>
      </c>
      <c r="O421" s="61" t="s">
        <v>444</v>
      </c>
      <c r="P421" s="64">
        <v>10.58</v>
      </c>
      <c r="Q421" s="65">
        <v>85.41</v>
      </c>
      <c r="R421" s="65">
        <v>23.9</v>
      </c>
      <c r="S421" s="65">
        <v>0</v>
      </c>
      <c r="T421" s="65">
        <v>0</v>
      </c>
      <c r="U421" s="65">
        <v>109.31</v>
      </c>
    </row>
    <row r="422" spans="1:21" s="61" customFormat="1" hidden="1" x14ac:dyDescent="0.25">
      <c r="A422" s="62">
        <v>357025</v>
      </c>
      <c r="B422" s="61" t="s">
        <v>445</v>
      </c>
      <c r="C422" s="63">
        <v>39196</v>
      </c>
      <c r="D422" s="63">
        <v>39196.333333333336</v>
      </c>
      <c r="E422" s="61" t="s">
        <v>485</v>
      </c>
      <c r="F422" s="61" t="s">
        <v>530</v>
      </c>
      <c r="G422" s="61" t="s">
        <v>511</v>
      </c>
      <c r="H422" s="61" t="s">
        <v>457</v>
      </c>
      <c r="I422" s="61" t="s">
        <v>442</v>
      </c>
      <c r="J422" s="61" t="s">
        <v>443</v>
      </c>
      <c r="K422" s="61" t="s">
        <v>443</v>
      </c>
      <c r="L422" s="64">
        <v>0</v>
      </c>
      <c r="M422" s="64">
        <v>0</v>
      </c>
      <c r="N422" s="64">
        <v>28.173999999999999</v>
      </c>
      <c r="O422" s="61" t="s">
        <v>444</v>
      </c>
      <c r="P422" s="64">
        <v>0</v>
      </c>
      <c r="Q422" s="65">
        <v>0</v>
      </c>
      <c r="R422" s="65">
        <v>0</v>
      </c>
      <c r="S422" s="65">
        <v>0</v>
      </c>
      <c r="T422" s="65">
        <v>0</v>
      </c>
      <c r="U422" s="65">
        <v>0</v>
      </c>
    </row>
    <row r="423" spans="1:21" s="61" customFormat="1" hidden="1" x14ac:dyDescent="0.25">
      <c r="A423" s="62">
        <v>357025</v>
      </c>
      <c r="B423" s="61" t="s">
        <v>445</v>
      </c>
      <c r="C423" s="63">
        <v>39196</v>
      </c>
      <c r="D423" s="63">
        <v>39196.333333333336</v>
      </c>
      <c r="E423" s="61" t="s">
        <v>485</v>
      </c>
      <c r="F423" s="61" t="s">
        <v>530</v>
      </c>
      <c r="G423" s="61" t="s">
        <v>511</v>
      </c>
      <c r="H423" s="61" t="s">
        <v>457</v>
      </c>
      <c r="I423" s="61" t="s">
        <v>442</v>
      </c>
      <c r="J423" s="61" t="s">
        <v>443</v>
      </c>
      <c r="K423" s="61" t="s">
        <v>443</v>
      </c>
      <c r="L423" s="64">
        <v>0</v>
      </c>
      <c r="M423" s="64">
        <v>29.643999999999998</v>
      </c>
      <c r="N423" s="64">
        <v>38.479999999999997</v>
      </c>
      <c r="O423" s="61" t="s">
        <v>444</v>
      </c>
      <c r="P423" s="64">
        <v>0</v>
      </c>
      <c r="Q423" s="65">
        <v>0</v>
      </c>
      <c r="R423" s="65">
        <v>0</v>
      </c>
      <c r="S423" s="65">
        <v>0</v>
      </c>
      <c r="T423" s="65">
        <v>0</v>
      </c>
      <c r="U423" s="65">
        <v>0</v>
      </c>
    </row>
    <row r="424" spans="1:21" s="61" customFormat="1" hidden="1" x14ac:dyDescent="0.25">
      <c r="A424" s="62">
        <v>355093</v>
      </c>
      <c r="B424" s="61" t="s">
        <v>437</v>
      </c>
      <c r="C424" s="63">
        <v>39191</v>
      </c>
      <c r="D424" s="63">
        <v>39191.333333333336</v>
      </c>
      <c r="E424" s="61" t="s">
        <v>450</v>
      </c>
      <c r="F424" s="61" t="s">
        <v>527</v>
      </c>
      <c r="G424" s="61" t="s">
        <v>511</v>
      </c>
      <c r="H424" s="61" t="s">
        <v>441</v>
      </c>
      <c r="I424" s="61" t="s">
        <v>442</v>
      </c>
      <c r="J424" s="61" t="s">
        <v>443</v>
      </c>
      <c r="K424" s="61" t="s">
        <v>443</v>
      </c>
      <c r="L424" s="64">
        <v>0</v>
      </c>
      <c r="M424" s="64">
        <v>0</v>
      </c>
      <c r="N424" s="64">
        <v>28.173999999999999</v>
      </c>
      <c r="O424" s="61" t="s">
        <v>444</v>
      </c>
      <c r="P424" s="64">
        <v>49.64</v>
      </c>
      <c r="Q424" s="65">
        <v>1108.52</v>
      </c>
      <c r="R424" s="65">
        <v>448.8</v>
      </c>
      <c r="S424" s="65">
        <v>0</v>
      </c>
      <c r="T424" s="65">
        <v>0</v>
      </c>
      <c r="U424" s="65">
        <v>1557.32</v>
      </c>
    </row>
    <row r="425" spans="1:21" s="61" customFormat="1" hidden="1" x14ac:dyDescent="0.25">
      <c r="A425" s="62">
        <v>355093</v>
      </c>
      <c r="B425" s="61" t="s">
        <v>437</v>
      </c>
      <c r="C425" s="63">
        <v>39191</v>
      </c>
      <c r="D425" s="63">
        <v>39191.333333333336</v>
      </c>
      <c r="E425" s="61" t="s">
        <v>450</v>
      </c>
      <c r="F425" s="61" t="s">
        <v>527</v>
      </c>
      <c r="G425" s="61" t="s">
        <v>511</v>
      </c>
      <c r="H425" s="61" t="s">
        <v>441</v>
      </c>
      <c r="I425" s="61" t="s">
        <v>442</v>
      </c>
      <c r="J425" s="61" t="s">
        <v>443</v>
      </c>
      <c r="K425" s="61" t="s">
        <v>443</v>
      </c>
      <c r="L425" s="64">
        <v>0</v>
      </c>
      <c r="M425" s="64">
        <v>29.643999999999998</v>
      </c>
      <c r="N425" s="64">
        <v>38.479999999999997</v>
      </c>
      <c r="O425" s="61" t="s">
        <v>444</v>
      </c>
      <c r="P425" s="64">
        <v>15.64</v>
      </c>
      <c r="Q425" s="65">
        <v>349.26</v>
      </c>
      <c r="R425" s="65">
        <v>141.4</v>
      </c>
      <c r="S425" s="65">
        <v>0</v>
      </c>
      <c r="T425" s="65">
        <v>0</v>
      </c>
      <c r="U425" s="65">
        <v>490.66</v>
      </c>
    </row>
    <row r="426" spans="1:21" s="61" customFormat="1" hidden="1" x14ac:dyDescent="0.25">
      <c r="A426" s="62">
        <v>354797</v>
      </c>
      <c r="B426" s="61" t="s">
        <v>445</v>
      </c>
      <c r="C426" s="63">
        <v>39189</v>
      </c>
      <c r="D426" s="63">
        <v>39189.333333333336</v>
      </c>
      <c r="E426" s="61" t="s">
        <v>446</v>
      </c>
      <c r="F426" s="61" t="s">
        <v>516</v>
      </c>
      <c r="G426" s="61" t="s">
        <v>511</v>
      </c>
      <c r="H426" s="61" t="s">
        <v>441</v>
      </c>
      <c r="I426" s="61" t="s">
        <v>442</v>
      </c>
      <c r="J426" s="61" t="s">
        <v>443</v>
      </c>
      <c r="K426" s="61" t="s">
        <v>443</v>
      </c>
      <c r="L426" s="64">
        <v>0</v>
      </c>
      <c r="M426" s="64">
        <v>0</v>
      </c>
      <c r="N426" s="64">
        <v>28.173999999999999</v>
      </c>
      <c r="O426" s="61" t="s">
        <v>444</v>
      </c>
      <c r="P426" s="64">
        <v>5.1100000000000003</v>
      </c>
      <c r="Q426" s="65">
        <v>101.66</v>
      </c>
      <c r="R426" s="65">
        <v>28.45</v>
      </c>
      <c r="S426" s="65">
        <v>0</v>
      </c>
      <c r="T426" s="65">
        <v>0</v>
      </c>
      <c r="U426" s="65">
        <v>130.11000000000001</v>
      </c>
    </row>
    <row r="427" spans="1:21" s="61" customFormat="1" hidden="1" x14ac:dyDescent="0.25">
      <c r="A427" s="62">
        <v>354797</v>
      </c>
      <c r="B427" s="61" t="s">
        <v>445</v>
      </c>
      <c r="C427" s="63">
        <v>39189</v>
      </c>
      <c r="D427" s="63">
        <v>39189.333333333336</v>
      </c>
      <c r="E427" s="61" t="s">
        <v>446</v>
      </c>
      <c r="F427" s="61" t="s">
        <v>516</v>
      </c>
      <c r="G427" s="61" t="s">
        <v>511</v>
      </c>
      <c r="H427" s="61" t="s">
        <v>441</v>
      </c>
      <c r="I427" s="61" t="s">
        <v>442</v>
      </c>
      <c r="J427" s="61" t="s">
        <v>443</v>
      </c>
      <c r="K427" s="61" t="s">
        <v>443</v>
      </c>
      <c r="L427" s="64">
        <v>0</v>
      </c>
      <c r="M427" s="64">
        <v>29.643999999999998</v>
      </c>
      <c r="N427" s="64">
        <v>38.479999999999997</v>
      </c>
      <c r="O427" s="61" t="s">
        <v>444</v>
      </c>
      <c r="P427" s="64">
        <v>1.61</v>
      </c>
      <c r="Q427" s="65">
        <v>32.03</v>
      </c>
      <c r="R427" s="65">
        <v>8.9600000000000009</v>
      </c>
      <c r="S427" s="65">
        <v>0</v>
      </c>
      <c r="T427" s="65">
        <v>0</v>
      </c>
      <c r="U427" s="65">
        <v>40.99</v>
      </c>
    </row>
    <row r="428" spans="1:21" s="61" customFormat="1" hidden="1" x14ac:dyDescent="0.25">
      <c r="A428" s="62">
        <v>353787</v>
      </c>
      <c r="B428" s="61" t="s">
        <v>445</v>
      </c>
      <c r="C428" s="63">
        <v>39185</v>
      </c>
      <c r="D428" s="63">
        <v>39185.333333333336</v>
      </c>
      <c r="E428" s="61" t="s">
        <v>446</v>
      </c>
      <c r="F428" s="61" t="s">
        <v>530</v>
      </c>
      <c r="G428" s="61" t="s">
        <v>511</v>
      </c>
      <c r="H428" s="61" t="s">
        <v>441</v>
      </c>
      <c r="I428" s="61" t="s">
        <v>442</v>
      </c>
      <c r="J428" s="61" t="s">
        <v>443</v>
      </c>
      <c r="K428" s="61" t="s">
        <v>443</v>
      </c>
      <c r="L428" s="64">
        <v>0</v>
      </c>
      <c r="M428" s="64">
        <v>0</v>
      </c>
      <c r="N428" s="64">
        <v>28.173999999999999</v>
      </c>
      <c r="O428" s="61" t="s">
        <v>444</v>
      </c>
      <c r="P428" s="64">
        <v>61.32</v>
      </c>
      <c r="Q428" s="65">
        <v>271.08999999999997</v>
      </c>
      <c r="R428" s="65">
        <v>75.86</v>
      </c>
      <c r="S428" s="65">
        <v>0</v>
      </c>
      <c r="T428" s="65">
        <v>0</v>
      </c>
      <c r="U428" s="65">
        <v>346.95</v>
      </c>
    </row>
    <row r="429" spans="1:21" s="61" customFormat="1" hidden="1" x14ac:dyDescent="0.25">
      <c r="A429" s="62">
        <v>353787</v>
      </c>
      <c r="B429" s="61" t="s">
        <v>445</v>
      </c>
      <c r="C429" s="63">
        <v>39185</v>
      </c>
      <c r="D429" s="63">
        <v>39185.333333333336</v>
      </c>
      <c r="E429" s="61" t="s">
        <v>446</v>
      </c>
      <c r="F429" s="61" t="s">
        <v>530</v>
      </c>
      <c r="G429" s="61" t="s">
        <v>511</v>
      </c>
      <c r="H429" s="61" t="s">
        <v>441</v>
      </c>
      <c r="I429" s="61" t="s">
        <v>442</v>
      </c>
      <c r="J429" s="61" t="s">
        <v>443</v>
      </c>
      <c r="K429" s="61" t="s">
        <v>443</v>
      </c>
      <c r="L429" s="64">
        <v>0</v>
      </c>
      <c r="M429" s="64">
        <v>29.643999999999998</v>
      </c>
      <c r="N429" s="64">
        <v>38.479999999999997</v>
      </c>
      <c r="O429" s="61" t="s">
        <v>444</v>
      </c>
      <c r="P429" s="64">
        <v>19.32</v>
      </c>
      <c r="Q429" s="65">
        <v>85.41</v>
      </c>
      <c r="R429" s="65">
        <v>23.9</v>
      </c>
      <c r="S429" s="65">
        <v>0</v>
      </c>
      <c r="T429" s="65">
        <v>0</v>
      </c>
      <c r="U429" s="65">
        <v>109.31</v>
      </c>
    </row>
    <row r="430" spans="1:21" s="61" customFormat="1" hidden="1" x14ac:dyDescent="0.25">
      <c r="A430" s="62">
        <v>353290</v>
      </c>
      <c r="B430" s="61" t="s">
        <v>445</v>
      </c>
      <c r="C430" s="63">
        <v>39184</v>
      </c>
      <c r="D430" s="63">
        <v>39184.333333333336</v>
      </c>
      <c r="E430" s="61" t="s">
        <v>531</v>
      </c>
      <c r="F430" s="61" t="s">
        <v>514</v>
      </c>
      <c r="G430" s="61" t="s">
        <v>511</v>
      </c>
      <c r="H430" s="61" t="s">
        <v>441</v>
      </c>
      <c r="I430" s="61" t="s">
        <v>442</v>
      </c>
      <c r="J430" s="61" t="s">
        <v>443</v>
      </c>
      <c r="K430" s="61" t="s">
        <v>443</v>
      </c>
      <c r="L430" s="64">
        <v>0</v>
      </c>
      <c r="M430" s="64">
        <v>0</v>
      </c>
      <c r="N430" s="64">
        <v>28.173999999999999</v>
      </c>
      <c r="O430" s="61" t="s">
        <v>444</v>
      </c>
      <c r="P430" s="64">
        <v>15.88</v>
      </c>
      <c r="Q430" s="65">
        <v>101.66</v>
      </c>
      <c r="R430" s="65">
        <v>74.88</v>
      </c>
      <c r="S430" s="65">
        <v>0</v>
      </c>
      <c r="T430" s="65">
        <v>0</v>
      </c>
      <c r="U430" s="65">
        <v>176.54</v>
      </c>
    </row>
    <row r="431" spans="1:21" s="61" customFormat="1" hidden="1" x14ac:dyDescent="0.25">
      <c r="A431" s="62">
        <v>353290</v>
      </c>
      <c r="B431" s="61" t="s">
        <v>445</v>
      </c>
      <c r="C431" s="63">
        <v>39184</v>
      </c>
      <c r="D431" s="63">
        <v>39184.333333333336</v>
      </c>
      <c r="E431" s="61" t="s">
        <v>531</v>
      </c>
      <c r="F431" s="61" t="s">
        <v>514</v>
      </c>
      <c r="G431" s="61" t="s">
        <v>511</v>
      </c>
      <c r="H431" s="61" t="s">
        <v>441</v>
      </c>
      <c r="I431" s="61" t="s">
        <v>442</v>
      </c>
      <c r="J431" s="61" t="s">
        <v>443</v>
      </c>
      <c r="K431" s="61" t="s">
        <v>443</v>
      </c>
      <c r="L431" s="64">
        <v>0</v>
      </c>
      <c r="M431" s="64">
        <v>29.643999999999998</v>
      </c>
      <c r="N431" s="64">
        <v>38.479999999999997</v>
      </c>
      <c r="O431" s="61" t="s">
        <v>444</v>
      </c>
      <c r="P431" s="64">
        <v>5</v>
      </c>
      <c r="Q431" s="65">
        <v>32.03</v>
      </c>
      <c r="R431" s="65">
        <v>23.59</v>
      </c>
      <c r="S431" s="65">
        <v>0</v>
      </c>
      <c r="T431" s="65">
        <v>0</v>
      </c>
      <c r="U431" s="65">
        <v>55.62</v>
      </c>
    </row>
    <row r="432" spans="1:21" s="61" customFormat="1" hidden="1" x14ac:dyDescent="0.25">
      <c r="A432" s="62">
        <v>353283</v>
      </c>
      <c r="B432" s="61" t="s">
        <v>445</v>
      </c>
      <c r="C432" s="63">
        <v>39184</v>
      </c>
      <c r="D432" s="63">
        <v>39184.333333333336</v>
      </c>
      <c r="E432" s="61" t="s">
        <v>446</v>
      </c>
      <c r="F432" s="61" t="s">
        <v>530</v>
      </c>
      <c r="G432" s="61" t="s">
        <v>511</v>
      </c>
      <c r="H432" s="61" t="s">
        <v>441</v>
      </c>
      <c r="I432" s="61" t="s">
        <v>442</v>
      </c>
      <c r="J432" s="61" t="s">
        <v>443</v>
      </c>
      <c r="K432" s="61" t="s">
        <v>443</v>
      </c>
      <c r="L432" s="64">
        <v>0</v>
      </c>
      <c r="M432" s="64">
        <v>0</v>
      </c>
      <c r="N432" s="64">
        <v>28.173999999999999</v>
      </c>
      <c r="O432" s="61" t="s">
        <v>444</v>
      </c>
      <c r="P432" s="64">
        <v>65.7</v>
      </c>
      <c r="Q432" s="65">
        <v>542.19000000000005</v>
      </c>
      <c r="R432" s="65">
        <v>235.29</v>
      </c>
      <c r="S432" s="65">
        <v>0</v>
      </c>
      <c r="T432" s="65">
        <v>0</v>
      </c>
      <c r="U432" s="65">
        <v>777.48</v>
      </c>
    </row>
    <row r="433" spans="1:21" s="61" customFormat="1" hidden="1" x14ac:dyDescent="0.25">
      <c r="A433" s="62">
        <v>353283</v>
      </c>
      <c r="B433" s="61" t="s">
        <v>445</v>
      </c>
      <c r="C433" s="63">
        <v>39184</v>
      </c>
      <c r="D433" s="63">
        <v>39184.333333333336</v>
      </c>
      <c r="E433" s="61" t="s">
        <v>446</v>
      </c>
      <c r="F433" s="61" t="s">
        <v>530</v>
      </c>
      <c r="G433" s="61" t="s">
        <v>511</v>
      </c>
      <c r="H433" s="61" t="s">
        <v>441</v>
      </c>
      <c r="I433" s="61" t="s">
        <v>442</v>
      </c>
      <c r="J433" s="61" t="s">
        <v>443</v>
      </c>
      <c r="K433" s="61" t="s">
        <v>443</v>
      </c>
      <c r="L433" s="64">
        <v>0</v>
      </c>
      <c r="M433" s="64">
        <v>29.643999999999998</v>
      </c>
      <c r="N433" s="64">
        <v>38.479999999999997</v>
      </c>
      <c r="O433" s="61" t="s">
        <v>444</v>
      </c>
      <c r="P433" s="64">
        <v>20.7</v>
      </c>
      <c r="Q433" s="65">
        <v>170.83</v>
      </c>
      <c r="R433" s="65">
        <v>74.13</v>
      </c>
      <c r="S433" s="65">
        <v>0</v>
      </c>
      <c r="T433" s="65">
        <v>0</v>
      </c>
      <c r="U433" s="65">
        <v>244.96</v>
      </c>
    </row>
    <row r="434" spans="1:21" s="61" customFormat="1" hidden="1" x14ac:dyDescent="0.25">
      <c r="A434" s="62">
        <v>352595</v>
      </c>
      <c r="B434" s="61" t="s">
        <v>445</v>
      </c>
      <c r="C434" s="63">
        <v>39183</v>
      </c>
      <c r="D434" s="63">
        <v>39183.333333333336</v>
      </c>
      <c r="E434" s="61" t="s">
        <v>446</v>
      </c>
      <c r="F434" s="61" t="s">
        <v>530</v>
      </c>
      <c r="G434" s="61" t="s">
        <v>511</v>
      </c>
      <c r="H434" s="61" t="s">
        <v>441</v>
      </c>
      <c r="I434" s="61" t="s">
        <v>442</v>
      </c>
      <c r="J434" s="61" t="s">
        <v>443</v>
      </c>
      <c r="K434" s="61" t="s">
        <v>443</v>
      </c>
      <c r="L434" s="64">
        <v>0</v>
      </c>
      <c r="M434" s="64">
        <v>0</v>
      </c>
      <c r="N434" s="64">
        <v>28.173999999999999</v>
      </c>
      <c r="O434" s="61" t="s">
        <v>444</v>
      </c>
      <c r="P434" s="64">
        <v>26.28</v>
      </c>
      <c r="Q434" s="65">
        <v>271.08999999999997</v>
      </c>
      <c r="R434" s="65">
        <v>75.86</v>
      </c>
      <c r="S434" s="65">
        <v>0</v>
      </c>
      <c r="T434" s="65">
        <v>0</v>
      </c>
      <c r="U434" s="65">
        <v>346.95</v>
      </c>
    </row>
    <row r="435" spans="1:21" s="61" customFormat="1" hidden="1" x14ac:dyDescent="0.25">
      <c r="A435" s="62">
        <v>352595</v>
      </c>
      <c r="B435" s="61" t="s">
        <v>445</v>
      </c>
      <c r="C435" s="63">
        <v>39183</v>
      </c>
      <c r="D435" s="63">
        <v>39183.333333333336</v>
      </c>
      <c r="E435" s="61" t="s">
        <v>446</v>
      </c>
      <c r="F435" s="61" t="s">
        <v>530</v>
      </c>
      <c r="G435" s="61" t="s">
        <v>511</v>
      </c>
      <c r="H435" s="61" t="s">
        <v>441</v>
      </c>
      <c r="I435" s="61" t="s">
        <v>442</v>
      </c>
      <c r="J435" s="61" t="s">
        <v>443</v>
      </c>
      <c r="K435" s="61" t="s">
        <v>443</v>
      </c>
      <c r="L435" s="64">
        <v>0</v>
      </c>
      <c r="M435" s="64">
        <v>29.643999999999998</v>
      </c>
      <c r="N435" s="64">
        <v>38.479999999999997</v>
      </c>
      <c r="O435" s="61" t="s">
        <v>444</v>
      </c>
      <c r="P435" s="64">
        <v>8.2799999999999994</v>
      </c>
      <c r="Q435" s="65">
        <v>85.41</v>
      </c>
      <c r="R435" s="65">
        <v>23.9</v>
      </c>
      <c r="S435" s="65">
        <v>0</v>
      </c>
      <c r="T435" s="65">
        <v>0</v>
      </c>
      <c r="U435" s="65">
        <v>109.31</v>
      </c>
    </row>
    <row r="436" spans="1:21" s="61" customFormat="1" hidden="1" x14ac:dyDescent="0.25">
      <c r="A436" s="62">
        <v>348908</v>
      </c>
      <c r="B436" s="61" t="s">
        <v>445</v>
      </c>
      <c r="C436" s="63">
        <v>39171</v>
      </c>
      <c r="D436" s="63">
        <v>39171.333333333336</v>
      </c>
      <c r="E436" s="61" t="s">
        <v>531</v>
      </c>
      <c r="F436" s="61" t="s">
        <v>530</v>
      </c>
      <c r="G436" s="61" t="s">
        <v>511</v>
      </c>
      <c r="H436" s="61" t="s">
        <v>441</v>
      </c>
      <c r="I436" s="61" t="s">
        <v>442</v>
      </c>
      <c r="J436" s="61" t="s">
        <v>443</v>
      </c>
      <c r="K436" s="61" t="s">
        <v>443</v>
      </c>
      <c r="L436" s="64">
        <v>0</v>
      </c>
      <c r="M436" s="64">
        <v>0</v>
      </c>
      <c r="N436" s="64">
        <v>28.173999999999999</v>
      </c>
      <c r="O436" s="61" t="s">
        <v>444</v>
      </c>
      <c r="P436" s="64">
        <v>28.47</v>
      </c>
      <c r="Q436" s="65">
        <v>138.47</v>
      </c>
      <c r="R436" s="65">
        <v>37.93</v>
      </c>
      <c r="S436" s="65">
        <v>0</v>
      </c>
      <c r="T436" s="65">
        <v>0</v>
      </c>
      <c r="U436" s="65">
        <v>176.4</v>
      </c>
    </row>
    <row r="437" spans="1:21" s="61" customFormat="1" hidden="1" x14ac:dyDescent="0.25">
      <c r="A437" s="62">
        <v>348908</v>
      </c>
      <c r="B437" s="61" t="s">
        <v>445</v>
      </c>
      <c r="C437" s="63">
        <v>39171</v>
      </c>
      <c r="D437" s="63">
        <v>39171.333333333336</v>
      </c>
      <c r="E437" s="61" t="s">
        <v>531</v>
      </c>
      <c r="F437" s="61" t="s">
        <v>530</v>
      </c>
      <c r="G437" s="61" t="s">
        <v>511</v>
      </c>
      <c r="H437" s="61" t="s">
        <v>441</v>
      </c>
      <c r="I437" s="61" t="s">
        <v>442</v>
      </c>
      <c r="J437" s="61" t="s">
        <v>443</v>
      </c>
      <c r="K437" s="61" t="s">
        <v>443</v>
      </c>
      <c r="L437" s="64">
        <v>0</v>
      </c>
      <c r="M437" s="64">
        <v>29.643999999999998</v>
      </c>
      <c r="N437" s="64">
        <v>38.479999999999997</v>
      </c>
      <c r="O437" s="61" t="s">
        <v>444</v>
      </c>
      <c r="P437" s="64">
        <v>8.9700000000000006</v>
      </c>
      <c r="Q437" s="65">
        <v>43.63</v>
      </c>
      <c r="R437" s="65">
        <v>11.95</v>
      </c>
      <c r="S437" s="65">
        <v>0</v>
      </c>
      <c r="T437" s="65">
        <v>0</v>
      </c>
      <c r="U437" s="65">
        <v>55.58</v>
      </c>
    </row>
    <row r="438" spans="1:21" s="61" customFormat="1" hidden="1" x14ac:dyDescent="0.25">
      <c r="A438" s="62">
        <v>348873</v>
      </c>
      <c r="B438" s="61" t="s">
        <v>445</v>
      </c>
      <c r="C438" s="63">
        <v>39171</v>
      </c>
      <c r="D438" s="63">
        <v>39171.333333333336</v>
      </c>
      <c r="E438" s="61" t="s">
        <v>518</v>
      </c>
      <c r="F438" s="61" t="s">
        <v>532</v>
      </c>
      <c r="G438" s="61" t="s">
        <v>511</v>
      </c>
      <c r="H438" s="61" t="s">
        <v>520</v>
      </c>
      <c r="I438" s="61" t="s">
        <v>442</v>
      </c>
      <c r="J438" s="61" t="s">
        <v>443</v>
      </c>
      <c r="K438" s="61" t="s">
        <v>443</v>
      </c>
      <c r="L438" s="64">
        <v>0</v>
      </c>
      <c r="M438" s="64">
        <v>0</v>
      </c>
      <c r="N438" s="64">
        <v>28.173999999999999</v>
      </c>
      <c r="O438" s="61" t="s">
        <v>444</v>
      </c>
      <c r="P438" s="64">
        <v>0.73</v>
      </c>
      <c r="Q438" s="65">
        <v>34.54</v>
      </c>
      <c r="R438" s="65">
        <v>13.43</v>
      </c>
      <c r="S438" s="65">
        <v>0</v>
      </c>
      <c r="T438" s="65">
        <v>0</v>
      </c>
      <c r="U438" s="65">
        <v>47.98</v>
      </c>
    </row>
    <row r="439" spans="1:21" s="61" customFormat="1" hidden="1" x14ac:dyDescent="0.25">
      <c r="A439" s="62">
        <v>348873</v>
      </c>
      <c r="B439" s="61" t="s">
        <v>445</v>
      </c>
      <c r="C439" s="63">
        <v>39171</v>
      </c>
      <c r="D439" s="63">
        <v>39171.333333333336</v>
      </c>
      <c r="E439" s="61" t="s">
        <v>518</v>
      </c>
      <c r="F439" s="61" t="s">
        <v>532</v>
      </c>
      <c r="G439" s="61" t="s">
        <v>511</v>
      </c>
      <c r="H439" s="61" t="s">
        <v>520</v>
      </c>
      <c r="I439" s="61" t="s">
        <v>442</v>
      </c>
      <c r="J439" s="61" t="s">
        <v>443</v>
      </c>
      <c r="K439" s="61" t="s">
        <v>443</v>
      </c>
      <c r="L439" s="64">
        <v>0</v>
      </c>
      <c r="M439" s="64">
        <v>29.643999999999998</v>
      </c>
      <c r="N439" s="64">
        <v>38.479999999999997</v>
      </c>
      <c r="O439" s="61" t="s">
        <v>444</v>
      </c>
      <c r="P439" s="64">
        <v>0.23</v>
      </c>
      <c r="Q439" s="65">
        <v>10.88</v>
      </c>
      <c r="R439" s="65">
        <v>4.2300000000000004</v>
      </c>
      <c r="S439" s="65">
        <v>0</v>
      </c>
      <c r="T439" s="65">
        <v>0</v>
      </c>
      <c r="U439" s="65">
        <v>15.12</v>
      </c>
    </row>
    <row r="440" spans="1:21" s="61" customFormat="1" hidden="1" x14ac:dyDescent="0.25">
      <c r="A440" s="62">
        <v>348872</v>
      </c>
      <c r="B440" s="61" t="s">
        <v>445</v>
      </c>
      <c r="C440" s="63">
        <v>39171</v>
      </c>
      <c r="D440" s="63">
        <v>39171.333333333336</v>
      </c>
      <c r="E440" s="61" t="s">
        <v>518</v>
      </c>
      <c r="F440" s="61" t="s">
        <v>532</v>
      </c>
      <c r="G440" s="61" t="s">
        <v>511</v>
      </c>
      <c r="H440" s="61" t="s">
        <v>520</v>
      </c>
      <c r="I440" s="61" t="s">
        <v>442</v>
      </c>
      <c r="J440" s="61" t="s">
        <v>443</v>
      </c>
      <c r="K440" s="61" t="s">
        <v>443</v>
      </c>
      <c r="L440" s="64">
        <v>0</v>
      </c>
      <c r="M440" s="64">
        <v>0</v>
      </c>
      <c r="N440" s="64">
        <v>28.173999999999999</v>
      </c>
      <c r="O440" s="61" t="s">
        <v>444</v>
      </c>
      <c r="P440" s="64">
        <v>0.73</v>
      </c>
      <c r="Q440" s="65">
        <v>34.54</v>
      </c>
      <c r="R440" s="65">
        <v>13.43</v>
      </c>
      <c r="S440" s="65">
        <v>0</v>
      </c>
      <c r="T440" s="65">
        <v>0</v>
      </c>
      <c r="U440" s="65">
        <v>47.98</v>
      </c>
    </row>
    <row r="441" spans="1:21" s="61" customFormat="1" hidden="1" x14ac:dyDescent="0.25">
      <c r="A441" s="62">
        <v>348872</v>
      </c>
      <c r="B441" s="61" t="s">
        <v>445</v>
      </c>
      <c r="C441" s="63">
        <v>39171</v>
      </c>
      <c r="D441" s="63">
        <v>39171.333333333336</v>
      </c>
      <c r="E441" s="61" t="s">
        <v>518</v>
      </c>
      <c r="F441" s="61" t="s">
        <v>532</v>
      </c>
      <c r="G441" s="61" t="s">
        <v>511</v>
      </c>
      <c r="H441" s="61" t="s">
        <v>520</v>
      </c>
      <c r="I441" s="61" t="s">
        <v>442</v>
      </c>
      <c r="J441" s="61" t="s">
        <v>443</v>
      </c>
      <c r="K441" s="61" t="s">
        <v>443</v>
      </c>
      <c r="L441" s="64">
        <v>0</v>
      </c>
      <c r="M441" s="64">
        <v>29.643999999999998</v>
      </c>
      <c r="N441" s="64">
        <v>38.479999999999997</v>
      </c>
      <c r="O441" s="61" t="s">
        <v>444</v>
      </c>
      <c r="P441" s="64">
        <v>0.23</v>
      </c>
      <c r="Q441" s="65">
        <v>10.88</v>
      </c>
      <c r="R441" s="65">
        <v>4.2300000000000004</v>
      </c>
      <c r="S441" s="65">
        <v>0</v>
      </c>
      <c r="T441" s="65">
        <v>0</v>
      </c>
      <c r="U441" s="65">
        <v>15.12</v>
      </c>
    </row>
    <row r="442" spans="1:21" s="61" customFormat="1" hidden="1" x14ac:dyDescent="0.25">
      <c r="A442" s="62">
        <v>342484</v>
      </c>
      <c r="B442" s="61" t="s">
        <v>445</v>
      </c>
      <c r="C442" s="63">
        <v>39153</v>
      </c>
      <c r="D442" s="63">
        <v>39153.333333333336</v>
      </c>
      <c r="E442" s="61" t="s">
        <v>446</v>
      </c>
      <c r="F442" s="61" t="s">
        <v>516</v>
      </c>
      <c r="G442" s="61" t="s">
        <v>511</v>
      </c>
      <c r="H442" s="61" t="s">
        <v>441</v>
      </c>
      <c r="I442" s="61" t="s">
        <v>442</v>
      </c>
      <c r="J442" s="61" t="s">
        <v>443</v>
      </c>
      <c r="K442" s="61" t="s">
        <v>443</v>
      </c>
      <c r="L442" s="64">
        <v>0</v>
      </c>
      <c r="M442" s="64">
        <v>0</v>
      </c>
      <c r="N442" s="64">
        <v>28.173999999999999</v>
      </c>
      <c r="O442" s="61" t="s">
        <v>444</v>
      </c>
      <c r="P442" s="64">
        <v>0.73</v>
      </c>
      <c r="Q442" s="65">
        <v>69.23</v>
      </c>
      <c r="R442" s="65">
        <v>18.97</v>
      </c>
      <c r="S442" s="65">
        <v>0</v>
      </c>
      <c r="T442" s="65">
        <v>0</v>
      </c>
      <c r="U442" s="65">
        <v>88.2</v>
      </c>
    </row>
    <row r="443" spans="1:21" s="61" customFormat="1" hidden="1" x14ac:dyDescent="0.25">
      <c r="A443" s="62">
        <v>342484</v>
      </c>
      <c r="B443" s="61" t="s">
        <v>445</v>
      </c>
      <c r="C443" s="63">
        <v>39153</v>
      </c>
      <c r="D443" s="63">
        <v>39153.333333333336</v>
      </c>
      <c r="E443" s="61" t="s">
        <v>446</v>
      </c>
      <c r="F443" s="61" t="s">
        <v>516</v>
      </c>
      <c r="G443" s="61" t="s">
        <v>511</v>
      </c>
      <c r="H443" s="61" t="s">
        <v>441</v>
      </c>
      <c r="I443" s="61" t="s">
        <v>442</v>
      </c>
      <c r="J443" s="61" t="s">
        <v>443</v>
      </c>
      <c r="K443" s="61" t="s">
        <v>443</v>
      </c>
      <c r="L443" s="64">
        <v>0</v>
      </c>
      <c r="M443" s="64">
        <v>29.643999999999998</v>
      </c>
      <c r="N443" s="64">
        <v>38.479999999999997</v>
      </c>
      <c r="O443" s="61" t="s">
        <v>444</v>
      </c>
      <c r="P443" s="64">
        <v>0.23</v>
      </c>
      <c r="Q443" s="65">
        <v>21.81</v>
      </c>
      <c r="R443" s="65">
        <v>5.98</v>
      </c>
      <c r="S443" s="65">
        <v>0</v>
      </c>
      <c r="T443" s="65">
        <v>0</v>
      </c>
      <c r="U443" s="65">
        <v>27.79</v>
      </c>
    </row>
    <row r="444" spans="1:21" s="61" customFormat="1" hidden="1" x14ac:dyDescent="0.25">
      <c r="A444" s="62">
        <v>342482</v>
      </c>
      <c r="B444" s="61" t="s">
        <v>445</v>
      </c>
      <c r="C444" s="63">
        <v>39153</v>
      </c>
      <c r="D444" s="63">
        <v>39153.333333333336</v>
      </c>
      <c r="E444" s="61" t="s">
        <v>446</v>
      </c>
      <c r="F444" s="61" t="s">
        <v>530</v>
      </c>
      <c r="G444" s="61" t="s">
        <v>511</v>
      </c>
      <c r="H444" s="61" t="s">
        <v>441</v>
      </c>
      <c r="I444" s="61" t="s">
        <v>442</v>
      </c>
      <c r="J444" s="61" t="s">
        <v>443</v>
      </c>
      <c r="K444" s="61" t="s">
        <v>443</v>
      </c>
      <c r="L444" s="64">
        <v>0</v>
      </c>
      <c r="M444" s="64">
        <v>0</v>
      </c>
      <c r="N444" s="64">
        <v>28.173999999999999</v>
      </c>
      <c r="O444" s="61" t="s">
        <v>444</v>
      </c>
      <c r="P444" s="64">
        <v>2.19</v>
      </c>
      <c r="Q444" s="65">
        <v>34.619999999999997</v>
      </c>
      <c r="R444" s="65">
        <v>9.48</v>
      </c>
      <c r="S444" s="65">
        <v>0</v>
      </c>
      <c r="T444" s="65">
        <v>0</v>
      </c>
      <c r="U444" s="65">
        <v>44.1</v>
      </c>
    </row>
    <row r="445" spans="1:21" s="61" customFormat="1" hidden="1" x14ac:dyDescent="0.25">
      <c r="A445" s="62">
        <v>342482</v>
      </c>
      <c r="B445" s="61" t="s">
        <v>445</v>
      </c>
      <c r="C445" s="63">
        <v>39153</v>
      </c>
      <c r="D445" s="63">
        <v>39153.333333333336</v>
      </c>
      <c r="E445" s="61" t="s">
        <v>446</v>
      </c>
      <c r="F445" s="61" t="s">
        <v>530</v>
      </c>
      <c r="G445" s="61" t="s">
        <v>511</v>
      </c>
      <c r="H445" s="61" t="s">
        <v>441</v>
      </c>
      <c r="I445" s="61" t="s">
        <v>442</v>
      </c>
      <c r="J445" s="61" t="s">
        <v>443</v>
      </c>
      <c r="K445" s="61" t="s">
        <v>443</v>
      </c>
      <c r="L445" s="64">
        <v>0</v>
      </c>
      <c r="M445" s="64">
        <v>29.643999999999998</v>
      </c>
      <c r="N445" s="64">
        <v>38.479999999999997</v>
      </c>
      <c r="O445" s="61" t="s">
        <v>444</v>
      </c>
      <c r="P445" s="64">
        <v>0.69</v>
      </c>
      <c r="Q445" s="65">
        <v>10.91</v>
      </c>
      <c r="R445" s="65">
        <v>2.99</v>
      </c>
      <c r="S445" s="65">
        <v>0</v>
      </c>
      <c r="T445" s="65">
        <v>0</v>
      </c>
      <c r="U445" s="65">
        <v>13.89</v>
      </c>
    </row>
    <row r="446" spans="1:21" s="61" customFormat="1" hidden="1" x14ac:dyDescent="0.25">
      <c r="A446" s="62">
        <v>337605</v>
      </c>
      <c r="B446" s="61" t="s">
        <v>445</v>
      </c>
      <c r="C446" s="63">
        <v>39141</v>
      </c>
      <c r="D446" s="63">
        <v>39141.333333333336</v>
      </c>
      <c r="E446" s="61" t="s">
        <v>446</v>
      </c>
      <c r="F446" s="61" t="s">
        <v>530</v>
      </c>
      <c r="G446" s="61" t="s">
        <v>511</v>
      </c>
      <c r="H446" s="61" t="s">
        <v>441</v>
      </c>
      <c r="I446" s="61" t="s">
        <v>442</v>
      </c>
      <c r="J446" s="61" t="s">
        <v>443</v>
      </c>
      <c r="K446" s="61" t="s">
        <v>443</v>
      </c>
      <c r="L446" s="64">
        <v>0</v>
      </c>
      <c r="M446" s="64">
        <v>0</v>
      </c>
      <c r="N446" s="64">
        <v>28.173999999999999</v>
      </c>
      <c r="O446" s="61" t="s">
        <v>444</v>
      </c>
      <c r="P446" s="64">
        <v>4.0199999999999996</v>
      </c>
      <c r="Q446" s="65">
        <v>17.309999999999999</v>
      </c>
      <c r="R446" s="65">
        <v>10.28</v>
      </c>
      <c r="S446" s="65">
        <v>0</v>
      </c>
      <c r="T446" s="65">
        <v>0</v>
      </c>
      <c r="U446" s="65">
        <v>27.59</v>
      </c>
    </row>
    <row r="447" spans="1:21" s="61" customFormat="1" hidden="1" x14ac:dyDescent="0.25">
      <c r="A447" s="62">
        <v>337605</v>
      </c>
      <c r="B447" s="61" t="s">
        <v>445</v>
      </c>
      <c r="C447" s="63">
        <v>39141</v>
      </c>
      <c r="D447" s="63">
        <v>39141.333333333336</v>
      </c>
      <c r="E447" s="61" t="s">
        <v>446</v>
      </c>
      <c r="F447" s="61" t="s">
        <v>530</v>
      </c>
      <c r="G447" s="61" t="s">
        <v>511</v>
      </c>
      <c r="H447" s="61" t="s">
        <v>441</v>
      </c>
      <c r="I447" s="61" t="s">
        <v>442</v>
      </c>
      <c r="J447" s="61" t="s">
        <v>443</v>
      </c>
      <c r="K447" s="61" t="s">
        <v>443</v>
      </c>
      <c r="L447" s="64">
        <v>0</v>
      </c>
      <c r="M447" s="64">
        <v>29.643999999999998</v>
      </c>
      <c r="N447" s="64">
        <v>38.479999999999997</v>
      </c>
      <c r="O447" s="61" t="s">
        <v>444</v>
      </c>
      <c r="P447" s="64">
        <v>1.27</v>
      </c>
      <c r="Q447" s="65">
        <v>5.45</v>
      </c>
      <c r="R447" s="65">
        <v>3.24</v>
      </c>
      <c r="S447" s="65">
        <v>0</v>
      </c>
      <c r="T447" s="65">
        <v>0</v>
      </c>
      <c r="U447" s="65">
        <v>8.69</v>
      </c>
    </row>
    <row r="448" spans="1:21" s="61" customFormat="1" hidden="1" x14ac:dyDescent="0.25">
      <c r="A448" s="62">
        <v>336094</v>
      </c>
      <c r="B448" s="61" t="s">
        <v>437</v>
      </c>
      <c r="C448" s="63">
        <v>39139</v>
      </c>
      <c r="D448" s="63">
        <v>39139.333333333336</v>
      </c>
      <c r="E448" s="61" t="s">
        <v>450</v>
      </c>
      <c r="F448" s="61" t="s">
        <v>525</v>
      </c>
      <c r="G448" s="61" t="s">
        <v>511</v>
      </c>
      <c r="H448" s="61" t="s">
        <v>441</v>
      </c>
      <c r="I448" s="61" t="s">
        <v>442</v>
      </c>
      <c r="J448" s="61" t="s">
        <v>443</v>
      </c>
      <c r="K448" s="61" t="s">
        <v>443</v>
      </c>
      <c r="L448" s="64">
        <v>0</v>
      </c>
      <c r="M448" s="64">
        <v>0</v>
      </c>
      <c r="N448" s="64">
        <v>28.173999999999999</v>
      </c>
      <c r="O448" s="61" t="s">
        <v>444</v>
      </c>
      <c r="P448" s="64">
        <v>0.73</v>
      </c>
      <c r="Q448" s="65">
        <v>0</v>
      </c>
      <c r="R448" s="65">
        <v>0</v>
      </c>
      <c r="S448" s="65">
        <v>0</v>
      </c>
      <c r="T448" s="65">
        <v>0</v>
      </c>
      <c r="U448" s="65">
        <v>0</v>
      </c>
    </row>
    <row r="449" spans="1:21" s="61" customFormat="1" hidden="1" x14ac:dyDescent="0.25">
      <c r="A449" s="62">
        <v>336094</v>
      </c>
      <c r="B449" s="61" t="s">
        <v>437</v>
      </c>
      <c r="C449" s="63">
        <v>39139</v>
      </c>
      <c r="D449" s="63">
        <v>39139.333333333336</v>
      </c>
      <c r="E449" s="61" t="s">
        <v>450</v>
      </c>
      <c r="F449" s="61" t="s">
        <v>525</v>
      </c>
      <c r="G449" s="61" t="s">
        <v>511</v>
      </c>
      <c r="H449" s="61" t="s">
        <v>441</v>
      </c>
      <c r="I449" s="61" t="s">
        <v>442</v>
      </c>
      <c r="J449" s="61" t="s">
        <v>443</v>
      </c>
      <c r="K449" s="61" t="s">
        <v>443</v>
      </c>
      <c r="L449" s="64">
        <v>0</v>
      </c>
      <c r="M449" s="64">
        <v>29.643999999999998</v>
      </c>
      <c r="N449" s="64">
        <v>38.479999999999997</v>
      </c>
      <c r="O449" s="61" t="s">
        <v>444</v>
      </c>
      <c r="P449" s="64">
        <v>0.23</v>
      </c>
      <c r="Q449" s="65">
        <v>0</v>
      </c>
      <c r="R449" s="65">
        <v>0</v>
      </c>
      <c r="S449" s="65">
        <v>0</v>
      </c>
      <c r="T449" s="65">
        <v>0</v>
      </c>
      <c r="U449" s="65">
        <v>0</v>
      </c>
    </row>
    <row r="450" spans="1:21" s="61" customFormat="1" hidden="1" x14ac:dyDescent="0.25">
      <c r="A450" s="62">
        <v>325716</v>
      </c>
      <c r="B450" s="61" t="s">
        <v>445</v>
      </c>
      <c r="C450" s="63">
        <v>39107</v>
      </c>
      <c r="D450" s="63">
        <v>39107.333333333336</v>
      </c>
      <c r="E450" s="61" t="s">
        <v>446</v>
      </c>
      <c r="F450" s="61" t="s">
        <v>516</v>
      </c>
      <c r="G450" s="61" t="s">
        <v>511</v>
      </c>
      <c r="H450" s="61" t="s">
        <v>441</v>
      </c>
      <c r="I450" s="61" t="s">
        <v>442</v>
      </c>
      <c r="J450" s="61" t="s">
        <v>443</v>
      </c>
      <c r="K450" s="61" t="s">
        <v>443</v>
      </c>
      <c r="L450" s="64">
        <v>0</v>
      </c>
      <c r="M450" s="64">
        <v>0</v>
      </c>
      <c r="N450" s="64">
        <v>28.173999999999999</v>
      </c>
      <c r="O450" s="61" t="s">
        <v>444</v>
      </c>
      <c r="P450" s="64">
        <v>0</v>
      </c>
      <c r="Q450" s="65">
        <v>0</v>
      </c>
      <c r="R450" s="65">
        <v>0</v>
      </c>
      <c r="S450" s="65">
        <v>0</v>
      </c>
      <c r="T450" s="65">
        <v>0</v>
      </c>
      <c r="U450" s="65">
        <v>0</v>
      </c>
    </row>
    <row r="451" spans="1:21" s="61" customFormat="1" hidden="1" x14ac:dyDescent="0.25">
      <c r="A451" s="62">
        <v>325716</v>
      </c>
      <c r="B451" s="61" t="s">
        <v>445</v>
      </c>
      <c r="C451" s="63">
        <v>39107</v>
      </c>
      <c r="D451" s="63">
        <v>39107.333333333336</v>
      </c>
      <c r="E451" s="61" t="s">
        <v>446</v>
      </c>
      <c r="F451" s="61" t="s">
        <v>516</v>
      </c>
      <c r="G451" s="61" t="s">
        <v>511</v>
      </c>
      <c r="H451" s="61" t="s">
        <v>441</v>
      </c>
      <c r="I451" s="61" t="s">
        <v>442</v>
      </c>
      <c r="J451" s="61" t="s">
        <v>443</v>
      </c>
      <c r="K451" s="61" t="s">
        <v>443</v>
      </c>
      <c r="L451" s="64">
        <v>0</v>
      </c>
      <c r="M451" s="64">
        <v>29.643999999999998</v>
      </c>
      <c r="N451" s="64">
        <v>38.479999999999997</v>
      </c>
      <c r="O451" s="61" t="s">
        <v>444</v>
      </c>
      <c r="P451" s="64">
        <v>0</v>
      </c>
      <c r="Q451" s="65">
        <v>0</v>
      </c>
      <c r="R451" s="65">
        <v>0</v>
      </c>
      <c r="S451" s="65">
        <v>0</v>
      </c>
      <c r="T451" s="65">
        <v>0</v>
      </c>
      <c r="U451" s="65">
        <v>0</v>
      </c>
    </row>
    <row r="452" spans="1:21" s="61" customFormat="1" hidden="1" x14ac:dyDescent="0.25">
      <c r="A452" s="62">
        <v>317990</v>
      </c>
      <c r="B452" s="61" t="s">
        <v>437</v>
      </c>
      <c r="C452" s="63">
        <v>39086</v>
      </c>
      <c r="D452" s="63">
        <v>39094</v>
      </c>
      <c r="E452" s="61" t="s">
        <v>450</v>
      </c>
      <c r="F452" s="61" t="s">
        <v>533</v>
      </c>
      <c r="G452" s="61" t="s">
        <v>511</v>
      </c>
      <c r="H452" s="61" t="s">
        <v>441</v>
      </c>
      <c r="I452" s="61" t="s">
        <v>442</v>
      </c>
      <c r="J452" s="61" t="s">
        <v>443</v>
      </c>
      <c r="K452" s="61" t="s">
        <v>443</v>
      </c>
      <c r="L452" s="64">
        <v>0</v>
      </c>
      <c r="M452" s="64">
        <v>0</v>
      </c>
      <c r="N452" s="64">
        <v>28.173999999999999</v>
      </c>
      <c r="O452" s="61" t="s">
        <v>444</v>
      </c>
      <c r="P452" s="64">
        <v>14.6</v>
      </c>
      <c r="Q452" s="65">
        <v>393.73</v>
      </c>
      <c r="R452" s="65">
        <v>178.41</v>
      </c>
      <c r="S452" s="65">
        <v>250.02</v>
      </c>
      <c r="T452" s="65">
        <v>0</v>
      </c>
      <c r="U452" s="65">
        <v>822.16</v>
      </c>
    </row>
    <row r="453" spans="1:21" s="61" customFormat="1" hidden="1" x14ac:dyDescent="0.25">
      <c r="A453" s="62">
        <v>317990</v>
      </c>
      <c r="B453" s="61" t="s">
        <v>437</v>
      </c>
      <c r="C453" s="63">
        <v>39086</v>
      </c>
      <c r="D453" s="63">
        <v>39094</v>
      </c>
      <c r="E453" s="61" t="s">
        <v>450</v>
      </c>
      <c r="F453" s="61" t="s">
        <v>533</v>
      </c>
      <c r="G453" s="61" t="s">
        <v>511</v>
      </c>
      <c r="H453" s="61" t="s">
        <v>441</v>
      </c>
      <c r="I453" s="61" t="s">
        <v>442</v>
      </c>
      <c r="J453" s="61" t="s">
        <v>443</v>
      </c>
      <c r="K453" s="61" t="s">
        <v>443</v>
      </c>
      <c r="L453" s="64">
        <v>0</v>
      </c>
      <c r="M453" s="64">
        <v>29.643999999999998</v>
      </c>
      <c r="N453" s="64">
        <v>38.479999999999997</v>
      </c>
      <c r="O453" s="61" t="s">
        <v>444</v>
      </c>
      <c r="P453" s="64">
        <v>4.5999999999999996</v>
      </c>
      <c r="Q453" s="65">
        <v>124.05</v>
      </c>
      <c r="R453" s="65">
        <v>56.21</v>
      </c>
      <c r="S453" s="65">
        <v>78.77</v>
      </c>
      <c r="T453" s="65">
        <v>0</v>
      </c>
      <c r="U453" s="65">
        <v>259.04000000000002</v>
      </c>
    </row>
    <row r="454" spans="1:21" s="61" customFormat="1" hidden="1" x14ac:dyDescent="0.25">
      <c r="A454" s="62">
        <v>317116</v>
      </c>
      <c r="B454" s="61" t="s">
        <v>437</v>
      </c>
      <c r="C454" s="63">
        <v>39084</v>
      </c>
      <c r="D454" s="63">
        <v>39094</v>
      </c>
      <c r="E454" s="61" t="s">
        <v>450</v>
      </c>
      <c r="F454" s="61" t="s">
        <v>515</v>
      </c>
      <c r="G454" s="61" t="s">
        <v>511</v>
      </c>
      <c r="H454" s="61" t="s">
        <v>441</v>
      </c>
      <c r="I454" s="61" t="s">
        <v>442</v>
      </c>
      <c r="J454" s="61" t="s">
        <v>443</v>
      </c>
      <c r="K454" s="61" t="s">
        <v>443</v>
      </c>
      <c r="L454" s="64">
        <v>0</v>
      </c>
      <c r="M454" s="64">
        <v>0</v>
      </c>
      <c r="N454" s="64">
        <v>28.173999999999999</v>
      </c>
      <c r="O454" s="61" t="s">
        <v>444</v>
      </c>
      <c r="P454" s="64">
        <v>1460</v>
      </c>
      <c r="Q454" s="65">
        <v>728.13</v>
      </c>
      <c r="R454" s="65">
        <v>581.08000000000004</v>
      </c>
      <c r="S454" s="65">
        <v>84.18</v>
      </c>
      <c r="T454" s="65">
        <v>0</v>
      </c>
      <c r="U454" s="65">
        <v>1393.39</v>
      </c>
    </row>
    <row r="455" spans="1:21" s="61" customFormat="1" hidden="1" x14ac:dyDescent="0.25">
      <c r="A455" s="62">
        <v>317116</v>
      </c>
      <c r="B455" s="61" t="s">
        <v>437</v>
      </c>
      <c r="C455" s="63">
        <v>39084</v>
      </c>
      <c r="D455" s="63">
        <v>39094</v>
      </c>
      <c r="E455" s="61" t="s">
        <v>450</v>
      </c>
      <c r="F455" s="61" t="s">
        <v>515</v>
      </c>
      <c r="G455" s="61" t="s">
        <v>511</v>
      </c>
      <c r="H455" s="61" t="s">
        <v>441</v>
      </c>
      <c r="I455" s="61" t="s">
        <v>442</v>
      </c>
      <c r="J455" s="61" t="s">
        <v>443</v>
      </c>
      <c r="K455" s="61" t="s">
        <v>443</v>
      </c>
      <c r="L455" s="64">
        <v>0</v>
      </c>
      <c r="M455" s="64">
        <v>29.643999999999998</v>
      </c>
      <c r="N455" s="64">
        <v>38.479999999999997</v>
      </c>
      <c r="O455" s="61" t="s">
        <v>444</v>
      </c>
      <c r="P455" s="64">
        <v>460</v>
      </c>
      <c r="Q455" s="65">
        <v>229.41</v>
      </c>
      <c r="R455" s="65">
        <v>183.08</v>
      </c>
      <c r="S455" s="65">
        <v>26.52</v>
      </c>
      <c r="T455" s="65">
        <v>0</v>
      </c>
      <c r="U455" s="65">
        <v>439.01</v>
      </c>
    </row>
    <row r="456" spans="1:21" s="61" customFormat="1" hidden="1" x14ac:dyDescent="0.25">
      <c r="A456" s="62">
        <v>316223</v>
      </c>
      <c r="B456" s="61" t="s">
        <v>445</v>
      </c>
      <c r="C456" s="63">
        <v>39071</v>
      </c>
      <c r="D456" s="63">
        <v>39071.333333333336</v>
      </c>
      <c r="E456" s="61" t="s">
        <v>446</v>
      </c>
      <c r="F456" s="61" t="s">
        <v>534</v>
      </c>
      <c r="G456" s="61" t="s">
        <v>511</v>
      </c>
      <c r="H456" s="61" t="s">
        <v>441</v>
      </c>
      <c r="I456" s="61" t="s">
        <v>442</v>
      </c>
      <c r="J456" s="61" t="s">
        <v>443</v>
      </c>
      <c r="K456" s="61" t="s">
        <v>443</v>
      </c>
      <c r="L456" s="64">
        <v>0</v>
      </c>
      <c r="M456" s="64">
        <v>0</v>
      </c>
      <c r="N456" s="64">
        <v>28.173999999999999</v>
      </c>
      <c r="O456" s="61" t="s">
        <v>444</v>
      </c>
      <c r="P456" s="64">
        <v>18.98</v>
      </c>
      <c r="Q456" s="65">
        <v>134.26</v>
      </c>
      <c r="R456" s="65">
        <v>37.93</v>
      </c>
      <c r="S456" s="65">
        <v>0</v>
      </c>
      <c r="T456" s="65">
        <v>0</v>
      </c>
      <c r="U456" s="65">
        <v>172.19</v>
      </c>
    </row>
    <row r="457" spans="1:21" s="61" customFormat="1" hidden="1" x14ac:dyDescent="0.25">
      <c r="A457" s="62">
        <v>316223</v>
      </c>
      <c r="B457" s="61" t="s">
        <v>445</v>
      </c>
      <c r="C457" s="63">
        <v>39071</v>
      </c>
      <c r="D457" s="63">
        <v>39071.333333333336</v>
      </c>
      <c r="E457" s="61" t="s">
        <v>446</v>
      </c>
      <c r="F457" s="61" t="s">
        <v>534</v>
      </c>
      <c r="G457" s="61" t="s">
        <v>511</v>
      </c>
      <c r="H457" s="61" t="s">
        <v>441</v>
      </c>
      <c r="I457" s="61" t="s">
        <v>442</v>
      </c>
      <c r="J457" s="61" t="s">
        <v>443</v>
      </c>
      <c r="K457" s="61" t="s">
        <v>443</v>
      </c>
      <c r="L457" s="64">
        <v>0</v>
      </c>
      <c r="M457" s="64">
        <v>29.643999999999998</v>
      </c>
      <c r="N457" s="64">
        <v>38.479999999999997</v>
      </c>
      <c r="O457" s="61" t="s">
        <v>444</v>
      </c>
      <c r="P457" s="64">
        <v>5.98</v>
      </c>
      <c r="Q457" s="65">
        <v>42.3</v>
      </c>
      <c r="R457" s="65">
        <v>11.95</v>
      </c>
      <c r="S457" s="65">
        <v>0</v>
      </c>
      <c r="T457" s="65">
        <v>0</v>
      </c>
      <c r="U457" s="65">
        <v>54.25</v>
      </c>
    </row>
    <row r="458" spans="1:21" s="61" customFormat="1" hidden="1" x14ac:dyDescent="0.25">
      <c r="A458" s="62">
        <v>313780</v>
      </c>
      <c r="B458" s="61" t="s">
        <v>445</v>
      </c>
      <c r="C458" s="63">
        <v>39064</v>
      </c>
      <c r="D458" s="63">
        <v>39064.333333333336</v>
      </c>
      <c r="E458" s="61" t="s">
        <v>446</v>
      </c>
      <c r="F458" s="61" t="s">
        <v>530</v>
      </c>
      <c r="G458" s="61" t="s">
        <v>511</v>
      </c>
      <c r="H458" s="61" t="s">
        <v>441</v>
      </c>
      <c r="I458" s="61" t="s">
        <v>442</v>
      </c>
      <c r="J458" s="61" t="s">
        <v>443</v>
      </c>
      <c r="K458" s="61" t="s">
        <v>443</v>
      </c>
      <c r="L458" s="64">
        <v>0</v>
      </c>
      <c r="M458" s="64">
        <v>0</v>
      </c>
      <c r="N458" s="64">
        <v>28.173999999999999</v>
      </c>
      <c r="O458" s="61" t="s">
        <v>444</v>
      </c>
      <c r="P458" s="64">
        <v>8.2100000000000009</v>
      </c>
      <c r="Q458" s="65">
        <v>67.13</v>
      </c>
      <c r="R458" s="65">
        <v>53.57</v>
      </c>
      <c r="S458" s="65">
        <v>0</v>
      </c>
      <c r="T458" s="65">
        <v>0</v>
      </c>
      <c r="U458" s="65">
        <v>120.7</v>
      </c>
    </row>
    <row r="459" spans="1:21" s="61" customFormat="1" hidden="1" x14ac:dyDescent="0.25">
      <c r="A459" s="62">
        <v>313780</v>
      </c>
      <c r="B459" s="61" t="s">
        <v>445</v>
      </c>
      <c r="C459" s="63">
        <v>39064</v>
      </c>
      <c r="D459" s="63">
        <v>39064.333333333336</v>
      </c>
      <c r="E459" s="61" t="s">
        <v>446</v>
      </c>
      <c r="F459" s="61" t="s">
        <v>530</v>
      </c>
      <c r="G459" s="61" t="s">
        <v>511</v>
      </c>
      <c r="H459" s="61" t="s">
        <v>441</v>
      </c>
      <c r="I459" s="61" t="s">
        <v>442</v>
      </c>
      <c r="J459" s="61" t="s">
        <v>443</v>
      </c>
      <c r="K459" s="61" t="s">
        <v>443</v>
      </c>
      <c r="L459" s="64">
        <v>0</v>
      </c>
      <c r="M459" s="64">
        <v>29.643999999999998</v>
      </c>
      <c r="N459" s="64">
        <v>38.479999999999997</v>
      </c>
      <c r="O459" s="61" t="s">
        <v>444</v>
      </c>
      <c r="P459" s="64">
        <v>2.59</v>
      </c>
      <c r="Q459" s="65">
        <v>21.15</v>
      </c>
      <c r="R459" s="65">
        <v>16.88</v>
      </c>
      <c r="S459" s="65">
        <v>0</v>
      </c>
      <c r="T459" s="65">
        <v>0</v>
      </c>
      <c r="U459" s="65">
        <v>38.03</v>
      </c>
    </row>
    <row r="460" spans="1:21" s="61" customFormat="1" hidden="1" x14ac:dyDescent="0.25">
      <c r="A460" s="62">
        <v>310864</v>
      </c>
      <c r="B460" s="61" t="s">
        <v>445</v>
      </c>
      <c r="C460" s="63">
        <v>39056</v>
      </c>
      <c r="D460" s="63">
        <v>39056.333333333336</v>
      </c>
      <c r="E460" s="61" t="s">
        <v>446</v>
      </c>
      <c r="F460" s="61" t="s">
        <v>530</v>
      </c>
      <c r="G460" s="61" t="s">
        <v>510</v>
      </c>
      <c r="H460" s="61" t="s">
        <v>441</v>
      </c>
      <c r="I460" s="61" t="s">
        <v>454</v>
      </c>
      <c r="J460" s="61" t="s">
        <v>443</v>
      </c>
      <c r="K460" s="61" t="s">
        <v>443</v>
      </c>
      <c r="L460" s="64">
        <v>0</v>
      </c>
      <c r="M460" s="64">
        <v>0</v>
      </c>
      <c r="N460" s="64">
        <v>3.4409999999999998</v>
      </c>
      <c r="O460" s="61" t="s">
        <v>444</v>
      </c>
      <c r="P460" s="64">
        <v>9</v>
      </c>
      <c r="Q460" s="65">
        <v>45.98</v>
      </c>
      <c r="R460" s="65">
        <v>12.99</v>
      </c>
      <c r="S460" s="65">
        <v>0</v>
      </c>
      <c r="T460" s="65">
        <v>0</v>
      </c>
      <c r="U460" s="65">
        <v>58.97</v>
      </c>
    </row>
    <row r="461" spans="1:21" s="61" customFormat="1" hidden="1" x14ac:dyDescent="0.25">
      <c r="A461" s="62">
        <v>310300</v>
      </c>
      <c r="B461" s="61" t="s">
        <v>437</v>
      </c>
      <c r="C461" s="63">
        <v>39056</v>
      </c>
      <c r="D461" s="63">
        <v>39056.333333333336</v>
      </c>
      <c r="E461" s="61" t="s">
        <v>450</v>
      </c>
      <c r="F461" s="61" t="s">
        <v>527</v>
      </c>
      <c r="G461" s="61" t="s">
        <v>511</v>
      </c>
      <c r="H461" s="61" t="s">
        <v>441</v>
      </c>
      <c r="I461" s="61" t="s">
        <v>442</v>
      </c>
      <c r="J461" s="61" t="s">
        <v>443</v>
      </c>
      <c r="K461" s="61" t="s">
        <v>443</v>
      </c>
      <c r="L461" s="64">
        <v>0</v>
      </c>
      <c r="M461" s="64">
        <v>0</v>
      </c>
      <c r="N461" s="64">
        <v>28.173999999999999</v>
      </c>
      <c r="O461" s="61" t="s">
        <v>444</v>
      </c>
      <c r="P461" s="64">
        <v>20.440000000000001</v>
      </c>
      <c r="Q461" s="65">
        <v>460.4</v>
      </c>
      <c r="R461" s="65">
        <v>216.23</v>
      </c>
      <c r="S461" s="65">
        <v>0</v>
      </c>
      <c r="T461" s="65">
        <v>0</v>
      </c>
      <c r="U461" s="65">
        <v>676.62</v>
      </c>
    </row>
    <row r="462" spans="1:21" s="61" customFormat="1" hidden="1" x14ac:dyDescent="0.25">
      <c r="A462" s="62">
        <v>310300</v>
      </c>
      <c r="B462" s="61" t="s">
        <v>437</v>
      </c>
      <c r="C462" s="63">
        <v>39056</v>
      </c>
      <c r="D462" s="63">
        <v>39056.333333333336</v>
      </c>
      <c r="E462" s="61" t="s">
        <v>450</v>
      </c>
      <c r="F462" s="61" t="s">
        <v>527</v>
      </c>
      <c r="G462" s="61" t="s">
        <v>511</v>
      </c>
      <c r="H462" s="61" t="s">
        <v>441</v>
      </c>
      <c r="I462" s="61" t="s">
        <v>442</v>
      </c>
      <c r="J462" s="61" t="s">
        <v>443</v>
      </c>
      <c r="K462" s="61" t="s">
        <v>443</v>
      </c>
      <c r="L462" s="64">
        <v>0</v>
      </c>
      <c r="M462" s="64">
        <v>29.643999999999998</v>
      </c>
      <c r="N462" s="64">
        <v>38.479999999999997</v>
      </c>
      <c r="O462" s="61" t="s">
        <v>444</v>
      </c>
      <c r="P462" s="64">
        <v>6.44</v>
      </c>
      <c r="Q462" s="65">
        <v>145.06</v>
      </c>
      <c r="R462" s="65">
        <v>68.13</v>
      </c>
      <c r="S462" s="65">
        <v>0</v>
      </c>
      <c r="T462" s="65">
        <v>0</v>
      </c>
      <c r="U462" s="65">
        <v>213.18</v>
      </c>
    </row>
    <row r="463" spans="1:21" s="61" customFormat="1" hidden="1" x14ac:dyDescent="0.25">
      <c r="A463" s="62">
        <v>304805</v>
      </c>
      <c r="B463" s="61" t="s">
        <v>445</v>
      </c>
      <c r="C463" s="63">
        <v>39034</v>
      </c>
      <c r="D463" s="63">
        <v>39034.333333333336</v>
      </c>
      <c r="E463" s="61" t="s">
        <v>485</v>
      </c>
      <c r="F463" s="61" t="s">
        <v>535</v>
      </c>
      <c r="G463" s="61" t="s">
        <v>511</v>
      </c>
      <c r="H463" s="61" t="s">
        <v>457</v>
      </c>
      <c r="I463" s="61" t="s">
        <v>442</v>
      </c>
      <c r="J463" s="61" t="s">
        <v>443</v>
      </c>
      <c r="K463" s="61" t="s">
        <v>443</v>
      </c>
      <c r="L463" s="64">
        <v>0</v>
      </c>
      <c r="M463" s="64">
        <v>0</v>
      </c>
      <c r="N463" s="64">
        <v>28.173999999999999</v>
      </c>
      <c r="O463" s="61" t="s">
        <v>444</v>
      </c>
      <c r="P463" s="64">
        <v>36.5</v>
      </c>
      <c r="Q463" s="65">
        <v>100.7</v>
      </c>
      <c r="R463" s="65">
        <v>28.45</v>
      </c>
      <c r="S463" s="65">
        <v>0</v>
      </c>
      <c r="T463" s="65">
        <v>0</v>
      </c>
      <c r="U463" s="65">
        <v>129.13999999999999</v>
      </c>
    </row>
    <row r="464" spans="1:21" s="61" customFormat="1" hidden="1" x14ac:dyDescent="0.25">
      <c r="A464" s="62">
        <v>304805</v>
      </c>
      <c r="B464" s="61" t="s">
        <v>445</v>
      </c>
      <c r="C464" s="63">
        <v>39034</v>
      </c>
      <c r="D464" s="63">
        <v>39034.333333333336</v>
      </c>
      <c r="E464" s="61" t="s">
        <v>485</v>
      </c>
      <c r="F464" s="61" t="s">
        <v>535</v>
      </c>
      <c r="G464" s="61" t="s">
        <v>511</v>
      </c>
      <c r="H464" s="61" t="s">
        <v>457</v>
      </c>
      <c r="I464" s="61" t="s">
        <v>442</v>
      </c>
      <c r="J464" s="61" t="s">
        <v>443</v>
      </c>
      <c r="K464" s="61" t="s">
        <v>443</v>
      </c>
      <c r="L464" s="64">
        <v>0</v>
      </c>
      <c r="M464" s="64">
        <v>29.643999999999998</v>
      </c>
      <c r="N464" s="64">
        <v>38.479999999999997</v>
      </c>
      <c r="O464" s="61" t="s">
        <v>444</v>
      </c>
      <c r="P464" s="64">
        <v>11.5</v>
      </c>
      <c r="Q464" s="65">
        <v>31.73</v>
      </c>
      <c r="R464" s="65">
        <v>8.9600000000000009</v>
      </c>
      <c r="S464" s="65">
        <v>0</v>
      </c>
      <c r="T464" s="65">
        <v>0</v>
      </c>
      <c r="U464" s="65">
        <v>40.69</v>
      </c>
    </row>
    <row r="465" spans="1:21" s="61" customFormat="1" hidden="1" x14ac:dyDescent="0.25">
      <c r="A465" s="62">
        <v>299464</v>
      </c>
      <c r="B465" s="61" t="s">
        <v>445</v>
      </c>
      <c r="C465" s="63">
        <v>39015</v>
      </c>
      <c r="D465" s="63">
        <v>39015.333333333336</v>
      </c>
      <c r="E465" s="61" t="s">
        <v>485</v>
      </c>
      <c r="F465" s="61" t="s">
        <v>514</v>
      </c>
      <c r="G465" s="61" t="s">
        <v>511</v>
      </c>
      <c r="H465" s="61" t="s">
        <v>457</v>
      </c>
      <c r="I465" s="61" t="s">
        <v>442</v>
      </c>
      <c r="J465" s="61" t="s">
        <v>443</v>
      </c>
      <c r="K465" s="61" t="s">
        <v>443</v>
      </c>
      <c r="L465" s="64">
        <v>0</v>
      </c>
      <c r="M465" s="64">
        <v>0</v>
      </c>
      <c r="N465" s="64">
        <v>28.173999999999999</v>
      </c>
      <c r="O465" s="61" t="s">
        <v>444</v>
      </c>
      <c r="P465" s="64">
        <v>65.7</v>
      </c>
      <c r="Q465" s="65">
        <v>201.39</v>
      </c>
      <c r="R465" s="65">
        <v>56.9</v>
      </c>
      <c r="S465" s="65">
        <v>0</v>
      </c>
      <c r="T465" s="65">
        <v>0</v>
      </c>
      <c r="U465" s="65">
        <v>258.29000000000002</v>
      </c>
    </row>
    <row r="466" spans="1:21" s="61" customFormat="1" hidden="1" x14ac:dyDescent="0.25">
      <c r="A466" s="62">
        <v>299464</v>
      </c>
      <c r="B466" s="61" t="s">
        <v>445</v>
      </c>
      <c r="C466" s="63">
        <v>39015</v>
      </c>
      <c r="D466" s="63">
        <v>39015.333333333336</v>
      </c>
      <c r="E466" s="61" t="s">
        <v>485</v>
      </c>
      <c r="F466" s="61" t="s">
        <v>514</v>
      </c>
      <c r="G466" s="61" t="s">
        <v>511</v>
      </c>
      <c r="H466" s="61" t="s">
        <v>457</v>
      </c>
      <c r="I466" s="61" t="s">
        <v>442</v>
      </c>
      <c r="J466" s="61" t="s">
        <v>443</v>
      </c>
      <c r="K466" s="61" t="s">
        <v>443</v>
      </c>
      <c r="L466" s="64">
        <v>0</v>
      </c>
      <c r="M466" s="64">
        <v>29.643999999999998</v>
      </c>
      <c r="N466" s="64">
        <v>38.479999999999997</v>
      </c>
      <c r="O466" s="61" t="s">
        <v>444</v>
      </c>
      <c r="P466" s="64">
        <v>20.7</v>
      </c>
      <c r="Q466" s="65">
        <v>63.45</v>
      </c>
      <c r="R466" s="65">
        <v>17.93</v>
      </c>
      <c r="S466" s="65">
        <v>0</v>
      </c>
      <c r="T466" s="65">
        <v>0</v>
      </c>
      <c r="U466" s="65">
        <v>81.38</v>
      </c>
    </row>
    <row r="467" spans="1:21" s="61" customFormat="1" hidden="1" x14ac:dyDescent="0.25">
      <c r="A467" s="62">
        <v>298680</v>
      </c>
      <c r="B467" s="61" t="s">
        <v>445</v>
      </c>
      <c r="C467" s="63">
        <v>39013</v>
      </c>
      <c r="D467" s="63">
        <v>39013.333333333336</v>
      </c>
      <c r="E467" s="61" t="s">
        <v>446</v>
      </c>
      <c r="F467" s="61" t="s">
        <v>516</v>
      </c>
      <c r="G467" s="61" t="s">
        <v>511</v>
      </c>
      <c r="H467" s="61" t="s">
        <v>441</v>
      </c>
      <c r="I467" s="61" t="s">
        <v>442</v>
      </c>
      <c r="J467" s="61" t="s">
        <v>443</v>
      </c>
      <c r="K467" s="61" t="s">
        <v>443</v>
      </c>
      <c r="L467" s="64">
        <v>0</v>
      </c>
      <c r="M467" s="64">
        <v>0</v>
      </c>
      <c r="N467" s="64">
        <v>28.173999999999999</v>
      </c>
      <c r="O467" s="61" t="s">
        <v>444</v>
      </c>
      <c r="P467" s="64">
        <v>3.65</v>
      </c>
      <c r="Q467" s="65">
        <v>67.13</v>
      </c>
      <c r="R467" s="65">
        <v>18.97</v>
      </c>
      <c r="S467" s="65">
        <v>0</v>
      </c>
      <c r="T467" s="65">
        <v>0</v>
      </c>
      <c r="U467" s="65">
        <v>86.1</v>
      </c>
    </row>
    <row r="468" spans="1:21" s="61" customFormat="1" hidden="1" x14ac:dyDescent="0.25">
      <c r="A468" s="62">
        <v>298680</v>
      </c>
      <c r="B468" s="61" t="s">
        <v>445</v>
      </c>
      <c r="C468" s="63">
        <v>39013</v>
      </c>
      <c r="D468" s="63">
        <v>39013.333333333336</v>
      </c>
      <c r="E468" s="61" t="s">
        <v>446</v>
      </c>
      <c r="F468" s="61" t="s">
        <v>516</v>
      </c>
      <c r="G468" s="61" t="s">
        <v>511</v>
      </c>
      <c r="H468" s="61" t="s">
        <v>441</v>
      </c>
      <c r="I468" s="61" t="s">
        <v>442</v>
      </c>
      <c r="J468" s="61" t="s">
        <v>443</v>
      </c>
      <c r="K468" s="61" t="s">
        <v>443</v>
      </c>
      <c r="L468" s="64">
        <v>0</v>
      </c>
      <c r="M468" s="64">
        <v>29.643999999999998</v>
      </c>
      <c r="N468" s="64">
        <v>38.479999999999997</v>
      </c>
      <c r="O468" s="61" t="s">
        <v>444</v>
      </c>
      <c r="P468" s="64">
        <v>1.1499999999999999</v>
      </c>
      <c r="Q468" s="65">
        <v>21.15</v>
      </c>
      <c r="R468" s="65">
        <v>5.98</v>
      </c>
      <c r="S468" s="65">
        <v>0</v>
      </c>
      <c r="T468" s="65">
        <v>0</v>
      </c>
      <c r="U468" s="65">
        <v>27.13</v>
      </c>
    </row>
    <row r="469" spans="1:21" s="61" customFormat="1" hidden="1" x14ac:dyDescent="0.25">
      <c r="A469" s="62">
        <v>294269</v>
      </c>
      <c r="B469" s="61" t="s">
        <v>445</v>
      </c>
      <c r="C469" s="63">
        <v>38999</v>
      </c>
      <c r="D469" s="63">
        <v>38999.333333333336</v>
      </c>
      <c r="E469" s="61" t="s">
        <v>446</v>
      </c>
      <c r="F469" s="61" t="s">
        <v>522</v>
      </c>
      <c r="G469" s="61" t="s">
        <v>511</v>
      </c>
      <c r="H469" s="61" t="s">
        <v>441</v>
      </c>
      <c r="I469" s="61" t="s">
        <v>442</v>
      </c>
      <c r="J469" s="61" t="s">
        <v>443</v>
      </c>
      <c r="K469" s="61" t="s">
        <v>443</v>
      </c>
      <c r="L469" s="64">
        <v>0</v>
      </c>
      <c r="M469" s="64">
        <v>0</v>
      </c>
      <c r="N469" s="64">
        <v>28.173999999999999</v>
      </c>
      <c r="O469" s="61" t="s">
        <v>444</v>
      </c>
      <c r="P469" s="64">
        <v>66253.34</v>
      </c>
      <c r="Q469" s="65">
        <v>846.22</v>
      </c>
      <c r="R469" s="65">
        <v>423.69</v>
      </c>
      <c r="S469" s="65">
        <v>0</v>
      </c>
      <c r="T469" s="65">
        <v>0</v>
      </c>
      <c r="U469" s="65">
        <v>1269.9100000000001</v>
      </c>
    </row>
    <row r="470" spans="1:21" s="61" customFormat="1" hidden="1" x14ac:dyDescent="0.25">
      <c r="A470" s="62">
        <v>294269</v>
      </c>
      <c r="B470" s="61" t="s">
        <v>445</v>
      </c>
      <c r="C470" s="63">
        <v>38999</v>
      </c>
      <c r="D470" s="63">
        <v>38999.333333333336</v>
      </c>
      <c r="E470" s="61" t="s">
        <v>446</v>
      </c>
      <c r="F470" s="61" t="s">
        <v>522</v>
      </c>
      <c r="G470" s="61" t="s">
        <v>511</v>
      </c>
      <c r="H470" s="61" t="s">
        <v>441</v>
      </c>
      <c r="I470" s="61" t="s">
        <v>442</v>
      </c>
      <c r="J470" s="61" t="s">
        <v>443</v>
      </c>
      <c r="K470" s="61" t="s">
        <v>443</v>
      </c>
      <c r="L470" s="64">
        <v>0</v>
      </c>
      <c r="M470" s="64">
        <v>29.643999999999998</v>
      </c>
      <c r="N470" s="64">
        <v>38.479999999999997</v>
      </c>
      <c r="O470" s="61" t="s">
        <v>444</v>
      </c>
      <c r="P470" s="64">
        <v>20874.34</v>
      </c>
      <c r="Q470" s="65">
        <v>266.62</v>
      </c>
      <c r="R470" s="65">
        <v>133.49</v>
      </c>
      <c r="S470" s="65">
        <v>0</v>
      </c>
      <c r="T470" s="65">
        <v>0</v>
      </c>
      <c r="U470" s="65">
        <v>400.11</v>
      </c>
    </row>
    <row r="471" spans="1:21" s="61" customFormat="1" hidden="1" x14ac:dyDescent="0.25">
      <c r="A471" s="62">
        <v>294268</v>
      </c>
      <c r="B471" s="61" t="s">
        <v>445</v>
      </c>
      <c r="C471" s="63">
        <v>38999</v>
      </c>
      <c r="D471" s="63">
        <v>38999.333333333336</v>
      </c>
      <c r="E471" s="61" t="s">
        <v>446</v>
      </c>
      <c r="F471" s="61" t="s">
        <v>536</v>
      </c>
      <c r="G471" s="61" t="s">
        <v>511</v>
      </c>
      <c r="H471" s="61" t="s">
        <v>441</v>
      </c>
      <c r="I471" s="61" t="s">
        <v>442</v>
      </c>
      <c r="J471" s="61" t="s">
        <v>443</v>
      </c>
      <c r="K471" s="61" t="s">
        <v>443</v>
      </c>
      <c r="L471" s="64">
        <v>0</v>
      </c>
      <c r="M471" s="64">
        <v>0</v>
      </c>
      <c r="N471" s="64">
        <v>28.173999999999999</v>
      </c>
      <c r="O471" s="61" t="s">
        <v>444</v>
      </c>
      <c r="P471" s="64">
        <v>730</v>
      </c>
      <c r="Q471" s="65">
        <v>604.44000000000005</v>
      </c>
      <c r="R471" s="65">
        <v>355.51</v>
      </c>
      <c r="S471" s="65">
        <v>0</v>
      </c>
      <c r="T471" s="65">
        <v>0</v>
      </c>
      <c r="U471" s="65">
        <v>959.95</v>
      </c>
    </row>
    <row r="472" spans="1:21" s="61" customFormat="1" hidden="1" x14ac:dyDescent="0.25">
      <c r="A472" s="62">
        <v>294268</v>
      </c>
      <c r="B472" s="61" t="s">
        <v>445</v>
      </c>
      <c r="C472" s="63">
        <v>38999</v>
      </c>
      <c r="D472" s="63">
        <v>38999.333333333336</v>
      </c>
      <c r="E472" s="61" t="s">
        <v>446</v>
      </c>
      <c r="F472" s="61" t="s">
        <v>536</v>
      </c>
      <c r="G472" s="61" t="s">
        <v>511</v>
      </c>
      <c r="H472" s="61" t="s">
        <v>441</v>
      </c>
      <c r="I472" s="61" t="s">
        <v>442</v>
      </c>
      <c r="J472" s="61" t="s">
        <v>443</v>
      </c>
      <c r="K472" s="61" t="s">
        <v>443</v>
      </c>
      <c r="L472" s="64">
        <v>0</v>
      </c>
      <c r="M472" s="64">
        <v>29.643999999999998</v>
      </c>
      <c r="N472" s="64">
        <v>38.479999999999997</v>
      </c>
      <c r="O472" s="61" t="s">
        <v>444</v>
      </c>
      <c r="P472" s="64">
        <v>230</v>
      </c>
      <c r="Q472" s="65">
        <v>190.44</v>
      </c>
      <c r="R472" s="65">
        <v>112.01</v>
      </c>
      <c r="S472" s="65">
        <v>0</v>
      </c>
      <c r="T472" s="65">
        <v>0</v>
      </c>
      <c r="U472" s="65">
        <v>302.45</v>
      </c>
    </row>
    <row r="473" spans="1:21" s="61" customFormat="1" hidden="1" x14ac:dyDescent="0.25">
      <c r="A473" s="62">
        <v>294128</v>
      </c>
      <c r="B473" s="61" t="s">
        <v>445</v>
      </c>
      <c r="C473" s="63">
        <v>38999</v>
      </c>
      <c r="D473" s="63">
        <v>38999.333333333336</v>
      </c>
      <c r="E473" s="61" t="s">
        <v>485</v>
      </c>
      <c r="F473" s="61" t="s">
        <v>516</v>
      </c>
      <c r="G473" s="61" t="s">
        <v>511</v>
      </c>
      <c r="H473" s="61" t="s">
        <v>457</v>
      </c>
      <c r="I473" s="61" t="s">
        <v>442</v>
      </c>
      <c r="J473" s="61" t="s">
        <v>443</v>
      </c>
      <c r="K473" s="61" t="s">
        <v>443</v>
      </c>
      <c r="L473" s="64">
        <v>0</v>
      </c>
      <c r="M473" s="64">
        <v>0</v>
      </c>
      <c r="N473" s="64">
        <v>28.173999999999999</v>
      </c>
      <c r="O473" s="61" t="s">
        <v>444</v>
      </c>
      <c r="P473" s="64">
        <v>3.65</v>
      </c>
      <c r="Q473" s="65">
        <v>60.44</v>
      </c>
      <c r="R473" s="65">
        <v>18.97</v>
      </c>
      <c r="S473" s="65">
        <v>0</v>
      </c>
      <c r="T473" s="65">
        <v>0</v>
      </c>
      <c r="U473" s="65">
        <v>79.41</v>
      </c>
    </row>
    <row r="474" spans="1:21" s="61" customFormat="1" hidden="1" x14ac:dyDescent="0.25">
      <c r="A474" s="62">
        <v>294128</v>
      </c>
      <c r="B474" s="61" t="s">
        <v>445</v>
      </c>
      <c r="C474" s="63">
        <v>38999</v>
      </c>
      <c r="D474" s="63">
        <v>38999.333333333336</v>
      </c>
      <c r="E474" s="61" t="s">
        <v>485</v>
      </c>
      <c r="F474" s="61" t="s">
        <v>516</v>
      </c>
      <c r="G474" s="61" t="s">
        <v>511</v>
      </c>
      <c r="H474" s="61" t="s">
        <v>457</v>
      </c>
      <c r="I474" s="61" t="s">
        <v>442</v>
      </c>
      <c r="J474" s="61" t="s">
        <v>443</v>
      </c>
      <c r="K474" s="61" t="s">
        <v>443</v>
      </c>
      <c r="L474" s="64">
        <v>0</v>
      </c>
      <c r="M474" s="64">
        <v>29.643999999999998</v>
      </c>
      <c r="N474" s="64">
        <v>38.479999999999997</v>
      </c>
      <c r="O474" s="61" t="s">
        <v>444</v>
      </c>
      <c r="P474" s="64">
        <v>1.1499999999999999</v>
      </c>
      <c r="Q474" s="65">
        <v>19.04</v>
      </c>
      <c r="R474" s="65">
        <v>5.98</v>
      </c>
      <c r="S474" s="65">
        <v>0</v>
      </c>
      <c r="T474" s="65">
        <v>0</v>
      </c>
      <c r="U474" s="65">
        <v>25.02</v>
      </c>
    </row>
    <row r="475" spans="1:21" s="61" customFormat="1" hidden="1" x14ac:dyDescent="0.25">
      <c r="A475" s="62">
        <v>293542</v>
      </c>
      <c r="B475" s="61" t="s">
        <v>445</v>
      </c>
      <c r="C475" s="63">
        <v>38996</v>
      </c>
      <c r="D475" s="63">
        <v>38996.333333333336</v>
      </c>
      <c r="E475" s="61" t="s">
        <v>446</v>
      </c>
      <c r="F475" s="61" t="s">
        <v>516</v>
      </c>
      <c r="G475" s="61" t="s">
        <v>511</v>
      </c>
      <c r="H475" s="61" t="s">
        <v>441</v>
      </c>
      <c r="I475" s="61" t="s">
        <v>442</v>
      </c>
      <c r="J475" s="61" t="s">
        <v>443</v>
      </c>
      <c r="K475" s="61" t="s">
        <v>443</v>
      </c>
      <c r="L475" s="64">
        <v>0</v>
      </c>
      <c r="M475" s="64">
        <v>0</v>
      </c>
      <c r="N475" s="64">
        <v>28.173999999999999</v>
      </c>
      <c r="O475" s="61" t="s">
        <v>444</v>
      </c>
      <c r="P475" s="64">
        <v>4.38</v>
      </c>
      <c r="Q475" s="65">
        <v>30.22</v>
      </c>
      <c r="R475" s="65">
        <v>9.48</v>
      </c>
      <c r="S475" s="65">
        <v>0</v>
      </c>
      <c r="T475" s="65">
        <v>0</v>
      </c>
      <c r="U475" s="65">
        <v>39.700000000000003</v>
      </c>
    </row>
    <row r="476" spans="1:21" s="61" customFormat="1" hidden="1" x14ac:dyDescent="0.25">
      <c r="A476" s="62">
        <v>293542</v>
      </c>
      <c r="B476" s="61" t="s">
        <v>445</v>
      </c>
      <c r="C476" s="63">
        <v>38996</v>
      </c>
      <c r="D476" s="63">
        <v>38996.333333333336</v>
      </c>
      <c r="E476" s="61" t="s">
        <v>446</v>
      </c>
      <c r="F476" s="61" t="s">
        <v>516</v>
      </c>
      <c r="G476" s="61" t="s">
        <v>511</v>
      </c>
      <c r="H476" s="61" t="s">
        <v>441</v>
      </c>
      <c r="I476" s="61" t="s">
        <v>442</v>
      </c>
      <c r="J476" s="61" t="s">
        <v>443</v>
      </c>
      <c r="K476" s="61" t="s">
        <v>443</v>
      </c>
      <c r="L476" s="64">
        <v>0</v>
      </c>
      <c r="M476" s="64">
        <v>29.643999999999998</v>
      </c>
      <c r="N476" s="64">
        <v>38.479999999999997</v>
      </c>
      <c r="O476" s="61" t="s">
        <v>444</v>
      </c>
      <c r="P476" s="64">
        <v>1.38</v>
      </c>
      <c r="Q476" s="65">
        <v>9.52</v>
      </c>
      <c r="R476" s="65">
        <v>2.99</v>
      </c>
      <c r="S476" s="65">
        <v>0</v>
      </c>
      <c r="T476" s="65">
        <v>0</v>
      </c>
      <c r="U476" s="65">
        <v>12.51</v>
      </c>
    </row>
    <row r="477" spans="1:21" s="61" customFormat="1" hidden="1" x14ac:dyDescent="0.25">
      <c r="A477" s="62">
        <v>293541</v>
      </c>
      <c r="B477" s="61" t="s">
        <v>445</v>
      </c>
      <c r="C477" s="63">
        <v>38996</v>
      </c>
      <c r="D477" s="63">
        <v>38996.333333333336</v>
      </c>
      <c r="E477" s="61" t="s">
        <v>446</v>
      </c>
      <c r="F477" s="61" t="s">
        <v>516</v>
      </c>
      <c r="G477" s="61" t="s">
        <v>511</v>
      </c>
      <c r="H477" s="61" t="s">
        <v>441</v>
      </c>
      <c r="I477" s="61" t="s">
        <v>442</v>
      </c>
      <c r="J477" s="61" t="s">
        <v>443</v>
      </c>
      <c r="K477" s="61" t="s">
        <v>443</v>
      </c>
      <c r="L477" s="64">
        <v>0</v>
      </c>
      <c r="M477" s="64">
        <v>0</v>
      </c>
      <c r="N477" s="64">
        <v>28.173999999999999</v>
      </c>
      <c r="O477" s="61" t="s">
        <v>444</v>
      </c>
      <c r="P477" s="64">
        <v>6.57</v>
      </c>
      <c r="Q477" s="65">
        <v>60.44</v>
      </c>
      <c r="R477" s="65">
        <v>18.97</v>
      </c>
      <c r="S477" s="65">
        <v>0</v>
      </c>
      <c r="T477" s="65">
        <v>0</v>
      </c>
      <c r="U477" s="65">
        <v>79.41</v>
      </c>
    </row>
    <row r="478" spans="1:21" s="61" customFormat="1" hidden="1" x14ac:dyDescent="0.25">
      <c r="A478" s="62">
        <v>293541</v>
      </c>
      <c r="B478" s="61" t="s">
        <v>445</v>
      </c>
      <c r="C478" s="63">
        <v>38996</v>
      </c>
      <c r="D478" s="63">
        <v>38996.333333333336</v>
      </c>
      <c r="E478" s="61" t="s">
        <v>446</v>
      </c>
      <c r="F478" s="61" t="s">
        <v>516</v>
      </c>
      <c r="G478" s="61" t="s">
        <v>511</v>
      </c>
      <c r="H478" s="61" t="s">
        <v>441</v>
      </c>
      <c r="I478" s="61" t="s">
        <v>442</v>
      </c>
      <c r="J478" s="61" t="s">
        <v>443</v>
      </c>
      <c r="K478" s="61" t="s">
        <v>443</v>
      </c>
      <c r="L478" s="64">
        <v>0</v>
      </c>
      <c r="M478" s="64">
        <v>29.643999999999998</v>
      </c>
      <c r="N478" s="64">
        <v>38.479999999999997</v>
      </c>
      <c r="O478" s="61" t="s">
        <v>444</v>
      </c>
      <c r="P478" s="64">
        <v>2.0699999999999998</v>
      </c>
      <c r="Q478" s="65">
        <v>19.04</v>
      </c>
      <c r="R478" s="65">
        <v>5.98</v>
      </c>
      <c r="S478" s="65">
        <v>0</v>
      </c>
      <c r="T478" s="65">
        <v>0</v>
      </c>
      <c r="U478" s="65">
        <v>25.02</v>
      </c>
    </row>
    <row r="479" spans="1:21" s="61" customFormat="1" hidden="1" x14ac:dyDescent="0.25">
      <c r="A479" s="62">
        <v>293197</v>
      </c>
      <c r="B479" s="61" t="s">
        <v>445</v>
      </c>
      <c r="C479" s="63">
        <v>38995</v>
      </c>
      <c r="D479" s="63">
        <v>38995.333333333336</v>
      </c>
      <c r="E479" s="61" t="s">
        <v>446</v>
      </c>
      <c r="F479" s="61" t="s">
        <v>536</v>
      </c>
      <c r="G479" s="61" t="s">
        <v>511</v>
      </c>
      <c r="H479" s="61" t="s">
        <v>441</v>
      </c>
      <c r="I479" s="61" t="s">
        <v>442</v>
      </c>
      <c r="J479" s="61" t="s">
        <v>443</v>
      </c>
      <c r="K479" s="61" t="s">
        <v>443</v>
      </c>
      <c r="L479" s="64">
        <v>0</v>
      </c>
      <c r="M479" s="64">
        <v>0</v>
      </c>
      <c r="N479" s="64">
        <v>28.173999999999999</v>
      </c>
      <c r="O479" s="61" t="s">
        <v>444</v>
      </c>
      <c r="P479" s="64">
        <v>365</v>
      </c>
      <c r="Q479" s="65">
        <v>604.44000000000005</v>
      </c>
      <c r="R479" s="65">
        <v>355.51</v>
      </c>
      <c r="S479" s="65">
        <v>0</v>
      </c>
      <c r="T479" s="65">
        <v>0</v>
      </c>
      <c r="U479" s="65">
        <v>959.95</v>
      </c>
    </row>
    <row r="480" spans="1:21" s="61" customFormat="1" hidden="1" x14ac:dyDescent="0.25">
      <c r="A480" s="62">
        <v>293197</v>
      </c>
      <c r="B480" s="61" t="s">
        <v>445</v>
      </c>
      <c r="C480" s="63">
        <v>38995</v>
      </c>
      <c r="D480" s="63">
        <v>38995.333333333336</v>
      </c>
      <c r="E480" s="61" t="s">
        <v>446</v>
      </c>
      <c r="F480" s="61" t="s">
        <v>536</v>
      </c>
      <c r="G480" s="61" t="s">
        <v>511</v>
      </c>
      <c r="H480" s="61" t="s">
        <v>441</v>
      </c>
      <c r="I480" s="61" t="s">
        <v>442</v>
      </c>
      <c r="J480" s="61" t="s">
        <v>443</v>
      </c>
      <c r="K480" s="61" t="s">
        <v>443</v>
      </c>
      <c r="L480" s="64">
        <v>0</v>
      </c>
      <c r="M480" s="64">
        <v>29.643999999999998</v>
      </c>
      <c r="N480" s="64">
        <v>38.479999999999997</v>
      </c>
      <c r="O480" s="61" t="s">
        <v>444</v>
      </c>
      <c r="P480" s="64">
        <v>115</v>
      </c>
      <c r="Q480" s="65">
        <v>190.44</v>
      </c>
      <c r="R480" s="65">
        <v>112.01</v>
      </c>
      <c r="S480" s="65">
        <v>0</v>
      </c>
      <c r="T480" s="65">
        <v>0</v>
      </c>
      <c r="U480" s="65">
        <v>302.45</v>
      </c>
    </row>
    <row r="481" spans="1:21" s="61" customFormat="1" hidden="1" x14ac:dyDescent="0.25">
      <c r="A481" s="62">
        <v>293196</v>
      </c>
      <c r="B481" s="61" t="s">
        <v>445</v>
      </c>
      <c r="C481" s="63">
        <v>38995</v>
      </c>
      <c r="D481" s="63">
        <v>38995.333333333336</v>
      </c>
      <c r="E481" s="61" t="s">
        <v>446</v>
      </c>
      <c r="F481" s="61" t="s">
        <v>522</v>
      </c>
      <c r="G481" s="61" t="s">
        <v>511</v>
      </c>
      <c r="H481" s="61" t="s">
        <v>441</v>
      </c>
      <c r="I481" s="61" t="s">
        <v>442</v>
      </c>
      <c r="J481" s="61" t="s">
        <v>443</v>
      </c>
      <c r="K481" s="61" t="s">
        <v>443</v>
      </c>
      <c r="L481" s="64">
        <v>0</v>
      </c>
      <c r="M481" s="64">
        <v>0</v>
      </c>
      <c r="N481" s="64">
        <v>28.173999999999999</v>
      </c>
      <c r="O481" s="61" t="s">
        <v>444</v>
      </c>
      <c r="P481" s="64">
        <v>77160.27</v>
      </c>
      <c r="Q481" s="65">
        <v>906.66</v>
      </c>
      <c r="R481" s="65">
        <v>529.62</v>
      </c>
      <c r="S481" s="65">
        <v>0</v>
      </c>
      <c r="T481" s="65">
        <v>0</v>
      </c>
      <c r="U481" s="65">
        <v>1436.28</v>
      </c>
    </row>
    <row r="482" spans="1:21" s="61" customFormat="1" hidden="1" x14ac:dyDescent="0.25">
      <c r="A482" s="62">
        <v>293196</v>
      </c>
      <c r="B482" s="61" t="s">
        <v>445</v>
      </c>
      <c r="C482" s="63">
        <v>38995</v>
      </c>
      <c r="D482" s="63">
        <v>38995.333333333336</v>
      </c>
      <c r="E482" s="61" t="s">
        <v>446</v>
      </c>
      <c r="F482" s="61" t="s">
        <v>522</v>
      </c>
      <c r="G482" s="61" t="s">
        <v>511</v>
      </c>
      <c r="H482" s="61" t="s">
        <v>441</v>
      </c>
      <c r="I482" s="61" t="s">
        <v>442</v>
      </c>
      <c r="J482" s="61" t="s">
        <v>443</v>
      </c>
      <c r="K482" s="61" t="s">
        <v>443</v>
      </c>
      <c r="L482" s="64">
        <v>0</v>
      </c>
      <c r="M482" s="64">
        <v>29.643999999999998</v>
      </c>
      <c r="N482" s="64">
        <v>38.479999999999997</v>
      </c>
      <c r="O482" s="61" t="s">
        <v>444</v>
      </c>
      <c r="P482" s="64">
        <v>24310.77</v>
      </c>
      <c r="Q482" s="65">
        <v>285.66000000000003</v>
      </c>
      <c r="R482" s="65">
        <v>166.87</v>
      </c>
      <c r="S482" s="65">
        <v>0</v>
      </c>
      <c r="T482" s="65">
        <v>0</v>
      </c>
      <c r="U482" s="65">
        <v>452.53</v>
      </c>
    </row>
    <row r="483" spans="1:21" s="61" customFormat="1" hidden="1" x14ac:dyDescent="0.25">
      <c r="A483" s="62">
        <v>292639</v>
      </c>
      <c r="B483" s="61" t="s">
        <v>445</v>
      </c>
      <c r="C483" s="63">
        <v>38994</v>
      </c>
      <c r="D483" s="63">
        <v>38994.333333333336</v>
      </c>
      <c r="E483" s="61" t="s">
        <v>446</v>
      </c>
      <c r="F483" s="61" t="s">
        <v>522</v>
      </c>
      <c r="G483" s="61" t="s">
        <v>511</v>
      </c>
      <c r="H483" s="61" t="s">
        <v>441</v>
      </c>
      <c r="I483" s="61" t="s">
        <v>442</v>
      </c>
      <c r="J483" s="61" t="s">
        <v>443</v>
      </c>
      <c r="K483" s="61" t="s">
        <v>443</v>
      </c>
      <c r="L483" s="64">
        <v>0</v>
      </c>
      <c r="M483" s="64">
        <v>0</v>
      </c>
      <c r="N483" s="64">
        <v>28.173999999999999</v>
      </c>
      <c r="O483" s="61" t="s">
        <v>444</v>
      </c>
      <c r="P483" s="64">
        <v>74544.679999999993</v>
      </c>
      <c r="Q483" s="65">
        <v>906.66</v>
      </c>
      <c r="R483" s="65">
        <v>529.62</v>
      </c>
      <c r="S483" s="65">
        <v>0</v>
      </c>
      <c r="T483" s="65">
        <v>0</v>
      </c>
      <c r="U483" s="65">
        <v>1436.28</v>
      </c>
    </row>
    <row r="484" spans="1:21" s="61" customFormat="1" hidden="1" x14ac:dyDescent="0.25">
      <c r="A484" s="62">
        <v>292639</v>
      </c>
      <c r="B484" s="61" t="s">
        <v>445</v>
      </c>
      <c r="C484" s="63">
        <v>38994</v>
      </c>
      <c r="D484" s="63">
        <v>38994.333333333336</v>
      </c>
      <c r="E484" s="61" t="s">
        <v>446</v>
      </c>
      <c r="F484" s="61" t="s">
        <v>522</v>
      </c>
      <c r="G484" s="61" t="s">
        <v>511</v>
      </c>
      <c r="H484" s="61" t="s">
        <v>441</v>
      </c>
      <c r="I484" s="61" t="s">
        <v>442</v>
      </c>
      <c r="J484" s="61" t="s">
        <v>443</v>
      </c>
      <c r="K484" s="61" t="s">
        <v>443</v>
      </c>
      <c r="L484" s="64">
        <v>0</v>
      </c>
      <c r="M484" s="64">
        <v>29.643999999999998</v>
      </c>
      <c r="N484" s="64">
        <v>38.479999999999997</v>
      </c>
      <c r="O484" s="61" t="s">
        <v>444</v>
      </c>
      <c r="P484" s="64">
        <v>23486.68</v>
      </c>
      <c r="Q484" s="65">
        <v>285.66000000000003</v>
      </c>
      <c r="R484" s="65">
        <v>166.87</v>
      </c>
      <c r="S484" s="65">
        <v>0</v>
      </c>
      <c r="T484" s="65">
        <v>0</v>
      </c>
      <c r="U484" s="65">
        <v>452.53</v>
      </c>
    </row>
    <row r="485" spans="1:21" s="61" customFormat="1" hidden="1" x14ac:dyDescent="0.25">
      <c r="A485" s="62">
        <v>292278</v>
      </c>
      <c r="B485" s="61" t="s">
        <v>445</v>
      </c>
      <c r="C485" s="63">
        <v>38993</v>
      </c>
      <c r="D485" s="63">
        <v>38993.333333333336</v>
      </c>
      <c r="E485" s="61" t="s">
        <v>446</v>
      </c>
      <c r="F485" s="61" t="s">
        <v>522</v>
      </c>
      <c r="G485" s="61" t="s">
        <v>511</v>
      </c>
      <c r="H485" s="61" t="s">
        <v>441</v>
      </c>
      <c r="I485" s="61" t="s">
        <v>442</v>
      </c>
      <c r="J485" s="61" t="s">
        <v>443</v>
      </c>
      <c r="K485" s="61" t="s">
        <v>443</v>
      </c>
      <c r="L485" s="64">
        <v>0</v>
      </c>
      <c r="M485" s="64">
        <v>0</v>
      </c>
      <c r="N485" s="64">
        <v>28.173999999999999</v>
      </c>
      <c r="O485" s="61" t="s">
        <v>444</v>
      </c>
      <c r="P485" s="64">
        <v>97803.94</v>
      </c>
      <c r="Q485" s="65">
        <v>604.44000000000005</v>
      </c>
      <c r="R485" s="65">
        <v>529.62</v>
      </c>
      <c r="S485" s="65">
        <v>0</v>
      </c>
      <c r="T485" s="65">
        <v>0</v>
      </c>
      <c r="U485" s="65">
        <v>1134.06</v>
      </c>
    </row>
    <row r="486" spans="1:21" s="61" customFormat="1" hidden="1" x14ac:dyDescent="0.25">
      <c r="A486" s="62">
        <v>292278</v>
      </c>
      <c r="B486" s="61" t="s">
        <v>445</v>
      </c>
      <c r="C486" s="63">
        <v>38993</v>
      </c>
      <c r="D486" s="63">
        <v>38993.333333333336</v>
      </c>
      <c r="E486" s="61" t="s">
        <v>446</v>
      </c>
      <c r="F486" s="61" t="s">
        <v>522</v>
      </c>
      <c r="G486" s="61" t="s">
        <v>511</v>
      </c>
      <c r="H486" s="61" t="s">
        <v>441</v>
      </c>
      <c r="I486" s="61" t="s">
        <v>442</v>
      </c>
      <c r="J486" s="61" t="s">
        <v>443</v>
      </c>
      <c r="K486" s="61" t="s">
        <v>443</v>
      </c>
      <c r="L486" s="64">
        <v>0</v>
      </c>
      <c r="M486" s="64">
        <v>29.643999999999998</v>
      </c>
      <c r="N486" s="64">
        <v>38.479999999999997</v>
      </c>
      <c r="O486" s="61" t="s">
        <v>444</v>
      </c>
      <c r="P486" s="64">
        <v>30814.94</v>
      </c>
      <c r="Q486" s="65">
        <v>190.44</v>
      </c>
      <c r="R486" s="65">
        <v>166.87</v>
      </c>
      <c r="S486" s="65">
        <v>0</v>
      </c>
      <c r="T486" s="65">
        <v>0</v>
      </c>
      <c r="U486" s="65">
        <v>357.31</v>
      </c>
    </row>
    <row r="487" spans="1:21" s="61" customFormat="1" hidden="1" x14ac:dyDescent="0.25">
      <c r="A487" s="62">
        <v>292261</v>
      </c>
      <c r="B487" s="61" t="s">
        <v>445</v>
      </c>
      <c r="C487" s="63">
        <v>38993</v>
      </c>
      <c r="D487" s="63">
        <v>38993.333333333336</v>
      </c>
      <c r="E487" s="61" t="s">
        <v>446</v>
      </c>
      <c r="F487" s="61" t="s">
        <v>536</v>
      </c>
      <c r="G487" s="61" t="s">
        <v>511</v>
      </c>
      <c r="H487" s="61" t="s">
        <v>441</v>
      </c>
      <c r="I487" s="61" t="s">
        <v>442</v>
      </c>
      <c r="J487" s="61" t="s">
        <v>443</v>
      </c>
      <c r="K487" s="61" t="s">
        <v>443</v>
      </c>
      <c r="L487" s="64">
        <v>0</v>
      </c>
      <c r="M487" s="64">
        <v>0</v>
      </c>
      <c r="N487" s="64">
        <v>28.173999999999999</v>
      </c>
      <c r="O487" s="61" t="s">
        <v>444</v>
      </c>
      <c r="P487" s="64">
        <v>730</v>
      </c>
      <c r="Q487" s="65">
        <v>453.33</v>
      </c>
      <c r="R487" s="65">
        <v>355.51</v>
      </c>
      <c r="S487" s="65">
        <v>0</v>
      </c>
      <c r="T487" s="65">
        <v>0</v>
      </c>
      <c r="U487" s="65">
        <v>808.84</v>
      </c>
    </row>
    <row r="488" spans="1:21" s="61" customFormat="1" hidden="1" x14ac:dyDescent="0.25">
      <c r="A488" s="62">
        <v>292261</v>
      </c>
      <c r="B488" s="61" t="s">
        <v>445</v>
      </c>
      <c r="C488" s="63">
        <v>38993</v>
      </c>
      <c r="D488" s="63">
        <v>38993.333333333336</v>
      </c>
      <c r="E488" s="61" t="s">
        <v>446</v>
      </c>
      <c r="F488" s="61" t="s">
        <v>536</v>
      </c>
      <c r="G488" s="61" t="s">
        <v>511</v>
      </c>
      <c r="H488" s="61" t="s">
        <v>441</v>
      </c>
      <c r="I488" s="61" t="s">
        <v>442</v>
      </c>
      <c r="J488" s="61" t="s">
        <v>443</v>
      </c>
      <c r="K488" s="61" t="s">
        <v>443</v>
      </c>
      <c r="L488" s="64">
        <v>0</v>
      </c>
      <c r="M488" s="64">
        <v>29.643999999999998</v>
      </c>
      <c r="N488" s="64">
        <v>38.479999999999997</v>
      </c>
      <c r="O488" s="61" t="s">
        <v>444</v>
      </c>
      <c r="P488" s="64">
        <v>230</v>
      </c>
      <c r="Q488" s="65">
        <v>142.83000000000001</v>
      </c>
      <c r="R488" s="65">
        <v>112.01</v>
      </c>
      <c r="S488" s="65">
        <v>0</v>
      </c>
      <c r="T488" s="65">
        <v>0</v>
      </c>
      <c r="U488" s="65">
        <v>254.84</v>
      </c>
    </row>
    <row r="489" spans="1:21" s="61" customFormat="1" hidden="1" x14ac:dyDescent="0.25">
      <c r="A489" s="62">
        <v>291709</v>
      </c>
      <c r="B489" s="61" t="s">
        <v>445</v>
      </c>
      <c r="C489" s="63">
        <v>38992</v>
      </c>
      <c r="D489" s="63">
        <v>38992.333333333336</v>
      </c>
      <c r="E489" s="61" t="s">
        <v>446</v>
      </c>
      <c r="F489" s="61" t="s">
        <v>536</v>
      </c>
      <c r="G489" s="61" t="s">
        <v>511</v>
      </c>
      <c r="H489" s="61" t="s">
        <v>441</v>
      </c>
      <c r="I489" s="61" t="s">
        <v>442</v>
      </c>
      <c r="J489" s="61" t="s">
        <v>443</v>
      </c>
      <c r="K489" s="61" t="s">
        <v>443</v>
      </c>
      <c r="L489" s="64">
        <v>0</v>
      </c>
      <c r="M489" s="64">
        <v>0</v>
      </c>
      <c r="N489" s="64">
        <v>28.173999999999999</v>
      </c>
      <c r="O489" s="61" t="s">
        <v>444</v>
      </c>
      <c r="P489" s="64">
        <v>438</v>
      </c>
      <c r="Q489" s="65">
        <v>604.44000000000005</v>
      </c>
      <c r="R489" s="65">
        <v>355.51</v>
      </c>
      <c r="S489" s="65">
        <v>0</v>
      </c>
      <c r="T489" s="65">
        <v>0</v>
      </c>
      <c r="U489" s="65">
        <v>959.95</v>
      </c>
    </row>
    <row r="490" spans="1:21" s="61" customFormat="1" hidden="1" x14ac:dyDescent="0.25">
      <c r="A490" s="62">
        <v>291709</v>
      </c>
      <c r="B490" s="61" t="s">
        <v>445</v>
      </c>
      <c r="C490" s="63">
        <v>38992</v>
      </c>
      <c r="D490" s="63">
        <v>38992.333333333336</v>
      </c>
      <c r="E490" s="61" t="s">
        <v>446</v>
      </c>
      <c r="F490" s="61" t="s">
        <v>536</v>
      </c>
      <c r="G490" s="61" t="s">
        <v>511</v>
      </c>
      <c r="H490" s="61" t="s">
        <v>441</v>
      </c>
      <c r="I490" s="61" t="s">
        <v>442</v>
      </c>
      <c r="J490" s="61" t="s">
        <v>443</v>
      </c>
      <c r="K490" s="61" t="s">
        <v>443</v>
      </c>
      <c r="L490" s="64">
        <v>0</v>
      </c>
      <c r="M490" s="64">
        <v>29.643999999999998</v>
      </c>
      <c r="N490" s="64">
        <v>38.479999999999997</v>
      </c>
      <c r="O490" s="61" t="s">
        <v>444</v>
      </c>
      <c r="P490" s="64">
        <v>138</v>
      </c>
      <c r="Q490" s="65">
        <v>190.44</v>
      </c>
      <c r="R490" s="65">
        <v>112.01</v>
      </c>
      <c r="S490" s="65">
        <v>0</v>
      </c>
      <c r="T490" s="65">
        <v>0</v>
      </c>
      <c r="U490" s="65">
        <v>302.45</v>
      </c>
    </row>
    <row r="491" spans="1:21" s="61" customFormat="1" hidden="1" x14ac:dyDescent="0.25">
      <c r="A491" s="62">
        <v>291708</v>
      </c>
      <c r="B491" s="61" t="s">
        <v>445</v>
      </c>
      <c r="C491" s="63">
        <v>38992</v>
      </c>
      <c r="D491" s="63">
        <v>38992.333333333336</v>
      </c>
      <c r="E491" s="61" t="s">
        <v>446</v>
      </c>
      <c r="F491" s="61" t="s">
        <v>522</v>
      </c>
      <c r="G491" s="61" t="s">
        <v>511</v>
      </c>
      <c r="H491" s="61" t="s">
        <v>441</v>
      </c>
      <c r="I491" s="61" t="s">
        <v>442</v>
      </c>
      <c r="J491" s="61" t="s">
        <v>443</v>
      </c>
      <c r="K491" s="61" t="s">
        <v>443</v>
      </c>
      <c r="L491" s="64">
        <v>0</v>
      </c>
      <c r="M491" s="64">
        <v>0</v>
      </c>
      <c r="N491" s="64">
        <v>28.173999999999999</v>
      </c>
      <c r="O491" s="61" t="s">
        <v>444</v>
      </c>
      <c r="P491" s="64">
        <v>52191.35</v>
      </c>
      <c r="Q491" s="65">
        <v>0</v>
      </c>
      <c r="R491" s="65">
        <v>0</v>
      </c>
      <c r="S491" s="65">
        <v>0</v>
      </c>
      <c r="T491" s="65">
        <v>0</v>
      </c>
      <c r="U491" s="65">
        <v>0</v>
      </c>
    </row>
    <row r="492" spans="1:21" s="61" customFormat="1" hidden="1" x14ac:dyDescent="0.25">
      <c r="A492" s="62">
        <v>291708</v>
      </c>
      <c r="B492" s="61" t="s">
        <v>445</v>
      </c>
      <c r="C492" s="63">
        <v>38992</v>
      </c>
      <c r="D492" s="63">
        <v>38992.333333333336</v>
      </c>
      <c r="E492" s="61" t="s">
        <v>446</v>
      </c>
      <c r="F492" s="61" t="s">
        <v>522</v>
      </c>
      <c r="G492" s="61" t="s">
        <v>511</v>
      </c>
      <c r="H492" s="61" t="s">
        <v>441</v>
      </c>
      <c r="I492" s="61" t="s">
        <v>442</v>
      </c>
      <c r="J492" s="61" t="s">
        <v>443</v>
      </c>
      <c r="K492" s="61" t="s">
        <v>443</v>
      </c>
      <c r="L492" s="64">
        <v>0</v>
      </c>
      <c r="M492" s="64">
        <v>29.643999999999998</v>
      </c>
      <c r="N492" s="64">
        <v>38.479999999999997</v>
      </c>
      <c r="O492" s="61" t="s">
        <v>444</v>
      </c>
      <c r="P492" s="64">
        <v>16443.849999999999</v>
      </c>
      <c r="Q492" s="65">
        <v>0</v>
      </c>
      <c r="R492" s="65">
        <v>0</v>
      </c>
      <c r="S492" s="65">
        <v>0</v>
      </c>
      <c r="T492" s="65">
        <v>0</v>
      </c>
      <c r="U492" s="65">
        <v>0</v>
      </c>
    </row>
    <row r="493" spans="1:21" s="61" customFormat="1" hidden="1" x14ac:dyDescent="0.25">
      <c r="A493" s="62">
        <v>291707</v>
      </c>
      <c r="B493" s="61" t="s">
        <v>445</v>
      </c>
      <c r="C493" s="63">
        <v>38992</v>
      </c>
      <c r="D493" s="63">
        <v>38992.333333333336</v>
      </c>
      <c r="E493" s="61" t="s">
        <v>446</v>
      </c>
      <c r="F493" s="61" t="s">
        <v>522</v>
      </c>
      <c r="G493" s="61" t="s">
        <v>510</v>
      </c>
      <c r="H493" s="61" t="s">
        <v>441</v>
      </c>
      <c r="I493" s="61" t="s">
        <v>454</v>
      </c>
      <c r="J493" s="61" t="s">
        <v>443</v>
      </c>
      <c r="K493" s="61" t="s">
        <v>443</v>
      </c>
      <c r="L493" s="64">
        <v>0</v>
      </c>
      <c r="M493" s="64">
        <v>0</v>
      </c>
      <c r="N493" s="64">
        <v>3.4409999999999998</v>
      </c>
      <c r="O493" s="61" t="s">
        <v>444</v>
      </c>
      <c r="P493" s="64">
        <v>60308</v>
      </c>
      <c r="Q493" s="65">
        <v>1242</v>
      </c>
      <c r="R493" s="65">
        <v>725.5</v>
      </c>
      <c r="S493" s="65">
        <v>0</v>
      </c>
      <c r="T493" s="65">
        <v>0</v>
      </c>
      <c r="U493" s="65">
        <v>1967.5</v>
      </c>
    </row>
    <row r="494" spans="1:21" s="61" customFormat="1" hidden="1" x14ac:dyDescent="0.25">
      <c r="A494" s="62">
        <v>284846</v>
      </c>
      <c r="B494" s="61" t="s">
        <v>445</v>
      </c>
      <c r="C494" s="63">
        <v>38973</v>
      </c>
      <c r="D494" s="63">
        <v>38973.333333333336</v>
      </c>
      <c r="E494" s="61" t="s">
        <v>518</v>
      </c>
      <c r="F494" s="61" t="s">
        <v>519</v>
      </c>
      <c r="G494" s="61" t="s">
        <v>511</v>
      </c>
      <c r="H494" s="61" t="s">
        <v>520</v>
      </c>
      <c r="I494" s="61" t="s">
        <v>442</v>
      </c>
      <c r="J494" s="61" t="s">
        <v>443</v>
      </c>
      <c r="K494" s="61" t="s">
        <v>443</v>
      </c>
      <c r="L494" s="64">
        <v>0</v>
      </c>
      <c r="M494" s="64">
        <v>0</v>
      </c>
      <c r="N494" s="64">
        <v>28.173999999999999</v>
      </c>
      <c r="O494" s="61" t="s">
        <v>444</v>
      </c>
      <c r="P494" s="64">
        <v>0.73</v>
      </c>
      <c r="Q494" s="65">
        <v>30.5</v>
      </c>
      <c r="R494" s="65">
        <v>26.86</v>
      </c>
      <c r="S494" s="65">
        <v>0</v>
      </c>
      <c r="T494" s="65">
        <v>0</v>
      </c>
      <c r="U494" s="65">
        <v>57.36</v>
      </c>
    </row>
    <row r="495" spans="1:21" s="61" customFormat="1" hidden="1" x14ac:dyDescent="0.25">
      <c r="A495" s="62">
        <v>284846</v>
      </c>
      <c r="B495" s="61" t="s">
        <v>445</v>
      </c>
      <c r="C495" s="63">
        <v>38973</v>
      </c>
      <c r="D495" s="63">
        <v>38973.333333333336</v>
      </c>
      <c r="E495" s="61" t="s">
        <v>518</v>
      </c>
      <c r="F495" s="61" t="s">
        <v>519</v>
      </c>
      <c r="G495" s="61" t="s">
        <v>511</v>
      </c>
      <c r="H495" s="61" t="s">
        <v>520</v>
      </c>
      <c r="I495" s="61" t="s">
        <v>442</v>
      </c>
      <c r="J495" s="61" t="s">
        <v>443</v>
      </c>
      <c r="K495" s="61" t="s">
        <v>443</v>
      </c>
      <c r="L495" s="64">
        <v>0</v>
      </c>
      <c r="M495" s="64">
        <v>29.643999999999998</v>
      </c>
      <c r="N495" s="64">
        <v>38.479999999999997</v>
      </c>
      <c r="O495" s="61" t="s">
        <v>444</v>
      </c>
      <c r="P495" s="64">
        <v>0.23</v>
      </c>
      <c r="Q495" s="65">
        <v>9.61</v>
      </c>
      <c r="R495" s="65">
        <v>8.4600000000000009</v>
      </c>
      <c r="S495" s="65">
        <v>0</v>
      </c>
      <c r="T495" s="65">
        <v>0</v>
      </c>
      <c r="U495" s="65">
        <v>18.07</v>
      </c>
    </row>
    <row r="496" spans="1:21" s="61" customFormat="1" hidden="1" x14ac:dyDescent="0.25">
      <c r="A496" s="62">
        <v>284845</v>
      </c>
      <c r="B496" s="61" t="s">
        <v>445</v>
      </c>
      <c r="C496" s="63">
        <v>38973</v>
      </c>
      <c r="D496" s="63">
        <v>38973.333333333336</v>
      </c>
      <c r="E496" s="61" t="s">
        <v>518</v>
      </c>
      <c r="F496" s="61" t="s">
        <v>519</v>
      </c>
      <c r="G496" s="61" t="s">
        <v>511</v>
      </c>
      <c r="H496" s="61" t="s">
        <v>520</v>
      </c>
      <c r="I496" s="61" t="s">
        <v>442</v>
      </c>
      <c r="J496" s="61" t="s">
        <v>443</v>
      </c>
      <c r="K496" s="61" t="s">
        <v>443</v>
      </c>
      <c r="L496" s="64">
        <v>0</v>
      </c>
      <c r="M496" s="64">
        <v>0</v>
      </c>
      <c r="N496" s="64">
        <v>28.173999999999999</v>
      </c>
      <c r="O496" s="61" t="s">
        <v>444</v>
      </c>
      <c r="P496" s="64">
        <v>0.73</v>
      </c>
      <c r="Q496" s="65">
        <v>30.5</v>
      </c>
      <c r="R496" s="65">
        <v>26.86</v>
      </c>
      <c r="S496" s="65">
        <v>0</v>
      </c>
      <c r="T496" s="65">
        <v>0</v>
      </c>
      <c r="U496" s="65">
        <v>57.36</v>
      </c>
    </row>
    <row r="497" spans="1:21" s="61" customFormat="1" hidden="1" x14ac:dyDescent="0.25">
      <c r="A497" s="62">
        <v>284845</v>
      </c>
      <c r="B497" s="61" t="s">
        <v>445</v>
      </c>
      <c r="C497" s="63">
        <v>38973</v>
      </c>
      <c r="D497" s="63">
        <v>38973.333333333336</v>
      </c>
      <c r="E497" s="61" t="s">
        <v>518</v>
      </c>
      <c r="F497" s="61" t="s">
        <v>519</v>
      </c>
      <c r="G497" s="61" t="s">
        <v>511</v>
      </c>
      <c r="H497" s="61" t="s">
        <v>520</v>
      </c>
      <c r="I497" s="61" t="s">
        <v>442</v>
      </c>
      <c r="J497" s="61" t="s">
        <v>443</v>
      </c>
      <c r="K497" s="61" t="s">
        <v>443</v>
      </c>
      <c r="L497" s="64">
        <v>0</v>
      </c>
      <c r="M497" s="64">
        <v>29.643999999999998</v>
      </c>
      <c r="N497" s="64">
        <v>38.479999999999997</v>
      </c>
      <c r="O497" s="61" t="s">
        <v>444</v>
      </c>
      <c r="P497" s="64">
        <v>0.23</v>
      </c>
      <c r="Q497" s="65">
        <v>9.61</v>
      </c>
      <c r="R497" s="65">
        <v>8.4600000000000009</v>
      </c>
      <c r="S497" s="65">
        <v>0</v>
      </c>
      <c r="T497" s="65">
        <v>0</v>
      </c>
      <c r="U497" s="65">
        <v>18.07</v>
      </c>
    </row>
    <row r="498" spans="1:21" s="61" customFormat="1" hidden="1" x14ac:dyDescent="0.25">
      <c r="A498" s="62">
        <v>284603</v>
      </c>
      <c r="B498" s="61" t="s">
        <v>445</v>
      </c>
      <c r="C498" s="63">
        <v>38972</v>
      </c>
      <c r="D498" s="63">
        <v>38972.333333333336</v>
      </c>
      <c r="E498" s="61" t="s">
        <v>446</v>
      </c>
      <c r="F498" s="61" t="s">
        <v>530</v>
      </c>
      <c r="G498" s="61" t="s">
        <v>511</v>
      </c>
      <c r="H498" s="61" t="s">
        <v>441</v>
      </c>
      <c r="I498" s="61" t="s">
        <v>442</v>
      </c>
      <c r="J498" s="61" t="s">
        <v>443</v>
      </c>
      <c r="K498" s="61" t="s">
        <v>443</v>
      </c>
      <c r="L498" s="64">
        <v>0</v>
      </c>
      <c r="M498" s="64">
        <v>0</v>
      </c>
      <c r="N498" s="64">
        <v>28.173999999999999</v>
      </c>
      <c r="O498" s="61" t="s">
        <v>444</v>
      </c>
      <c r="P498" s="64">
        <v>12.41</v>
      </c>
      <c r="Q498" s="65">
        <v>90.67</v>
      </c>
      <c r="R498" s="65">
        <v>28.45</v>
      </c>
      <c r="S498" s="65">
        <v>0</v>
      </c>
      <c r="T498" s="65">
        <v>0</v>
      </c>
      <c r="U498" s="65">
        <v>119.11</v>
      </c>
    </row>
    <row r="499" spans="1:21" s="61" customFormat="1" hidden="1" x14ac:dyDescent="0.25">
      <c r="A499" s="62">
        <v>284603</v>
      </c>
      <c r="B499" s="61" t="s">
        <v>445</v>
      </c>
      <c r="C499" s="63">
        <v>38972</v>
      </c>
      <c r="D499" s="63">
        <v>38972.333333333336</v>
      </c>
      <c r="E499" s="61" t="s">
        <v>446</v>
      </c>
      <c r="F499" s="61" t="s">
        <v>530</v>
      </c>
      <c r="G499" s="61" t="s">
        <v>511</v>
      </c>
      <c r="H499" s="61" t="s">
        <v>441</v>
      </c>
      <c r="I499" s="61" t="s">
        <v>442</v>
      </c>
      <c r="J499" s="61" t="s">
        <v>443</v>
      </c>
      <c r="K499" s="61" t="s">
        <v>443</v>
      </c>
      <c r="L499" s="64">
        <v>0</v>
      </c>
      <c r="M499" s="64">
        <v>29.643999999999998</v>
      </c>
      <c r="N499" s="64">
        <v>38.479999999999997</v>
      </c>
      <c r="O499" s="61" t="s">
        <v>444</v>
      </c>
      <c r="P499" s="64">
        <v>3.91</v>
      </c>
      <c r="Q499" s="65">
        <v>28.57</v>
      </c>
      <c r="R499" s="65">
        <v>8.9600000000000009</v>
      </c>
      <c r="S499" s="65">
        <v>0</v>
      </c>
      <c r="T499" s="65">
        <v>0</v>
      </c>
      <c r="U499" s="65">
        <v>37.53</v>
      </c>
    </row>
    <row r="500" spans="1:21" s="61" customFormat="1" hidden="1" x14ac:dyDescent="0.25">
      <c r="A500" s="62">
        <v>281518</v>
      </c>
      <c r="B500" s="61" t="s">
        <v>472</v>
      </c>
      <c r="C500" s="63">
        <v>38961</v>
      </c>
      <c r="D500" s="63">
        <v>38961.333333333336</v>
      </c>
      <c r="E500" s="61" t="s">
        <v>500</v>
      </c>
      <c r="F500" s="61" t="s">
        <v>537</v>
      </c>
      <c r="G500" s="61" t="s">
        <v>511</v>
      </c>
      <c r="H500" s="61" t="s">
        <v>441</v>
      </c>
      <c r="I500" s="61" t="s">
        <v>442</v>
      </c>
      <c r="J500" s="61" t="s">
        <v>443</v>
      </c>
      <c r="K500" s="61" t="s">
        <v>443</v>
      </c>
      <c r="L500" s="64">
        <v>0</v>
      </c>
      <c r="M500" s="64">
        <v>0</v>
      </c>
      <c r="N500" s="64">
        <v>28.173999999999999</v>
      </c>
      <c r="O500" s="61" t="s">
        <v>444</v>
      </c>
      <c r="P500" s="64">
        <v>2.92</v>
      </c>
      <c r="Q500" s="65">
        <v>606.02</v>
      </c>
      <c r="R500" s="65">
        <v>395.31</v>
      </c>
      <c r="S500" s="65">
        <v>733.42</v>
      </c>
      <c r="T500" s="65">
        <v>0</v>
      </c>
      <c r="U500" s="65">
        <v>1734.74</v>
      </c>
    </row>
    <row r="501" spans="1:21" s="61" customFormat="1" hidden="1" x14ac:dyDescent="0.25">
      <c r="A501" s="62">
        <v>281518</v>
      </c>
      <c r="B501" s="61" t="s">
        <v>472</v>
      </c>
      <c r="C501" s="63">
        <v>38961</v>
      </c>
      <c r="D501" s="63">
        <v>38961.333333333336</v>
      </c>
      <c r="E501" s="61" t="s">
        <v>500</v>
      </c>
      <c r="F501" s="61" t="s">
        <v>537</v>
      </c>
      <c r="G501" s="61" t="s">
        <v>511</v>
      </c>
      <c r="H501" s="61" t="s">
        <v>441</v>
      </c>
      <c r="I501" s="61" t="s">
        <v>442</v>
      </c>
      <c r="J501" s="61" t="s">
        <v>443</v>
      </c>
      <c r="K501" s="61" t="s">
        <v>443</v>
      </c>
      <c r="L501" s="64">
        <v>0</v>
      </c>
      <c r="M501" s="64">
        <v>29.643999999999998</v>
      </c>
      <c r="N501" s="64">
        <v>38.479999999999997</v>
      </c>
      <c r="O501" s="61" t="s">
        <v>444</v>
      </c>
      <c r="P501" s="64">
        <v>0.92</v>
      </c>
      <c r="Q501" s="65">
        <v>190.94</v>
      </c>
      <c r="R501" s="65">
        <v>124.55</v>
      </c>
      <c r="S501" s="65">
        <v>231.08</v>
      </c>
      <c r="T501" s="65">
        <v>0</v>
      </c>
      <c r="U501" s="65">
        <v>546.55999999999995</v>
      </c>
    </row>
    <row r="502" spans="1:21" s="61" customFormat="1" hidden="1" x14ac:dyDescent="0.25">
      <c r="A502" s="62">
        <v>277868</v>
      </c>
      <c r="B502" s="61" t="s">
        <v>437</v>
      </c>
      <c r="C502" s="63">
        <v>38953</v>
      </c>
      <c r="D502" s="63">
        <v>38960</v>
      </c>
      <c r="E502" s="61" t="s">
        <v>450</v>
      </c>
      <c r="F502" s="61" t="s">
        <v>529</v>
      </c>
      <c r="G502" s="61" t="s">
        <v>511</v>
      </c>
      <c r="H502" s="61" t="s">
        <v>441</v>
      </c>
      <c r="I502" s="61" t="s">
        <v>442</v>
      </c>
      <c r="J502" s="61" t="s">
        <v>443</v>
      </c>
      <c r="K502" s="61" t="s">
        <v>443</v>
      </c>
      <c r="L502" s="64">
        <v>0</v>
      </c>
      <c r="M502" s="64">
        <v>0</v>
      </c>
      <c r="N502" s="64">
        <v>28.173999999999999</v>
      </c>
      <c r="O502" s="61" t="s">
        <v>444</v>
      </c>
      <c r="P502" s="64">
        <v>8614</v>
      </c>
      <c r="Q502" s="65">
        <v>3308.86</v>
      </c>
      <c r="R502" s="65">
        <v>1882.23</v>
      </c>
      <c r="S502" s="65">
        <v>926.41</v>
      </c>
      <c r="T502" s="65">
        <v>0</v>
      </c>
      <c r="U502" s="65">
        <v>6117.51</v>
      </c>
    </row>
    <row r="503" spans="1:21" s="61" customFormat="1" hidden="1" x14ac:dyDescent="0.25">
      <c r="A503" s="62">
        <v>277868</v>
      </c>
      <c r="B503" s="61" t="s">
        <v>437</v>
      </c>
      <c r="C503" s="63">
        <v>38953</v>
      </c>
      <c r="D503" s="63">
        <v>38960</v>
      </c>
      <c r="E503" s="61" t="s">
        <v>450</v>
      </c>
      <c r="F503" s="61" t="s">
        <v>529</v>
      </c>
      <c r="G503" s="61" t="s">
        <v>511</v>
      </c>
      <c r="H503" s="61" t="s">
        <v>441</v>
      </c>
      <c r="I503" s="61" t="s">
        <v>442</v>
      </c>
      <c r="J503" s="61" t="s">
        <v>443</v>
      </c>
      <c r="K503" s="61" t="s">
        <v>443</v>
      </c>
      <c r="L503" s="64">
        <v>0</v>
      </c>
      <c r="M503" s="64">
        <v>29.643999999999998</v>
      </c>
      <c r="N503" s="64">
        <v>38.479999999999997</v>
      </c>
      <c r="O503" s="61" t="s">
        <v>444</v>
      </c>
      <c r="P503" s="64">
        <v>2714</v>
      </c>
      <c r="Q503" s="65">
        <v>1042.52</v>
      </c>
      <c r="R503" s="65">
        <v>593.03</v>
      </c>
      <c r="S503" s="65">
        <v>291.88</v>
      </c>
      <c r="T503" s="65">
        <v>0</v>
      </c>
      <c r="U503" s="65">
        <v>1927.43</v>
      </c>
    </row>
    <row r="504" spans="1:21" s="61" customFormat="1" hidden="1" x14ac:dyDescent="0.25">
      <c r="A504" s="62">
        <v>275121</v>
      </c>
      <c r="B504" s="61" t="s">
        <v>445</v>
      </c>
      <c r="C504" s="63">
        <v>38944</v>
      </c>
      <c r="D504" s="63">
        <v>38944.333333333336</v>
      </c>
      <c r="E504" s="61" t="s">
        <v>446</v>
      </c>
      <c r="F504" s="61" t="s">
        <v>514</v>
      </c>
      <c r="G504" s="61" t="s">
        <v>510</v>
      </c>
      <c r="H504" s="61" t="s">
        <v>441</v>
      </c>
      <c r="I504" s="61" t="s">
        <v>454</v>
      </c>
      <c r="J504" s="61" t="s">
        <v>443</v>
      </c>
      <c r="K504" s="61" t="s">
        <v>443</v>
      </c>
      <c r="L504" s="64">
        <v>0</v>
      </c>
      <c r="M504" s="64">
        <v>0</v>
      </c>
      <c r="N504" s="64">
        <v>3.4409999999999998</v>
      </c>
      <c r="O504" s="61" t="s">
        <v>444</v>
      </c>
      <c r="P504" s="64">
        <v>13</v>
      </c>
      <c r="Q504" s="65">
        <v>82.8</v>
      </c>
      <c r="R504" s="65">
        <v>28.5</v>
      </c>
      <c r="S504" s="65">
        <v>0</v>
      </c>
      <c r="T504" s="65">
        <v>0</v>
      </c>
      <c r="U504" s="65">
        <v>111.3</v>
      </c>
    </row>
    <row r="505" spans="1:21" s="61" customFormat="1" hidden="1" x14ac:dyDescent="0.25">
      <c r="A505" s="62">
        <v>274177</v>
      </c>
      <c r="B505" s="61" t="s">
        <v>437</v>
      </c>
      <c r="C505" s="63">
        <v>38943</v>
      </c>
      <c r="D505" s="63">
        <v>38943.333333333336</v>
      </c>
      <c r="E505" s="61" t="s">
        <v>450</v>
      </c>
      <c r="F505" s="61" t="s">
        <v>533</v>
      </c>
      <c r="G505" s="61" t="s">
        <v>511</v>
      </c>
      <c r="H505" s="61" t="s">
        <v>441</v>
      </c>
      <c r="I505" s="61" t="s">
        <v>442</v>
      </c>
      <c r="J505" s="61" t="s">
        <v>443</v>
      </c>
      <c r="K505" s="61" t="s">
        <v>443</v>
      </c>
      <c r="L505" s="64">
        <v>0</v>
      </c>
      <c r="M505" s="64">
        <v>0</v>
      </c>
      <c r="N505" s="64">
        <v>28.173999999999999</v>
      </c>
      <c r="O505" s="61" t="s">
        <v>444</v>
      </c>
      <c r="P505" s="64">
        <v>29.2</v>
      </c>
      <c r="Q505" s="65">
        <v>500.96</v>
      </c>
      <c r="R505" s="65">
        <v>130.22999999999999</v>
      </c>
      <c r="S505" s="65">
        <v>0</v>
      </c>
      <c r="T505" s="65">
        <v>0</v>
      </c>
      <c r="U505" s="65">
        <v>631.19000000000005</v>
      </c>
    </row>
    <row r="506" spans="1:21" s="61" customFormat="1" hidden="1" x14ac:dyDescent="0.25">
      <c r="A506" s="62">
        <v>274177</v>
      </c>
      <c r="B506" s="61" t="s">
        <v>437</v>
      </c>
      <c r="C506" s="63">
        <v>38943</v>
      </c>
      <c r="D506" s="63">
        <v>38943.333333333336</v>
      </c>
      <c r="E506" s="61" t="s">
        <v>450</v>
      </c>
      <c r="F506" s="61" t="s">
        <v>533</v>
      </c>
      <c r="G506" s="61" t="s">
        <v>511</v>
      </c>
      <c r="H506" s="61" t="s">
        <v>441</v>
      </c>
      <c r="I506" s="61" t="s">
        <v>442</v>
      </c>
      <c r="J506" s="61" t="s">
        <v>443</v>
      </c>
      <c r="K506" s="61" t="s">
        <v>443</v>
      </c>
      <c r="L506" s="64">
        <v>0</v>
      </c>
      <c r="M506" s="64">
        <v>29.643999999999998</v>
      </c>
      <c r="N506" s="64">
        <v>38.479999999999997</v>
      </c>
      <c r="O506" s="61" t="s">
        <v>444</v>
      </c>
      <c r="P506" s="64">
        <v>9.1999999999999993</v>
      </c>
      <c r="Q506" s="65">
        <v>157.84</v>
      </c>
      <c r="R506" s="65">
        <v>41.03</v>
      </c>
      <c r="S506" s="65">
        <v>0</v>
      </c>
      <c r="T506" s="65">
        <v>0</v>
      </c>
      <c r="U506" s="65">
        <v>198.87</v>
      </c>
    </row>
    <row r="507" spans="1:21" s="61" customFormat="1" hidden="1" x14ac:dyDescent="0.25">
      <c r="A507" s="62">
        <v>274005</v>
      </c>
      <c r="B507" s="61" t="s">
        <v>472</v>
      </c>
      <c r="C507" s="63">
        <v>38981</v>
      </c>
      <c r="D507" s="63">
        <v>39212.333333333336</v>
      </c>
      <c r="E507" s="61" t="s">
        <v>500</v>
      </c>
      <c r="F507" s="61" t="s">
        <v>524</v>
      </c>
      <c r="G507" s="61" t="s">
        <v>511</v>
      </c>
      <c r="H507" s="61" t="s">
        <v>441</v>
      </c>
      <c r="I507" s="61" t="s">
        <v>442</v>
      </c>
      <c r="J507" s="61" t="s">
        <v>443</v>
      </c>
      <c r="K507" s="61" t="s">
        <v>443</v>
      </c>
      <c r="L507" s="64">
        <v>0</v>
      </c>
      <c r="M507" s="64">
        <v>0</v>
      </c>
      <c r="N507" s="64">
        <v>28.173999999999999</v>
      </c>
      <c r="O507" s="61" t="s">
        <v>444</v>
      </c>
      <c r="P507" s="64">
        <v>51.1</v>
      </c>
      <c r="Q507" s="65">
        <v>1606.18</v>
      </c>
      <c r="R507" s="65">
        <v>815.79</v>
      </c>
      <c r="S507" s="65">
        <v>1327.67</v>
      </c>
      <c r="T507" s="65">
        <v>0</v>
      </c>
      <c r="U507" s="65">
        <v>3749.63</v>
      </c>
    </row>
    <row r="508" spans="1:21" s="61" customFormat="1" hidden="1" x14ac:dyDescent="0.25">
      <c r="A508" s="62">
        <v>274005</v>
      </c>
      <c r="B508" s="61" t="s">
        <v>472</v>
      </c>
      <c r="C508" s="63">
        <v>38981</v>
      </c>
      <c r="D508" s="63">
        <v>39212.333333333336</v>
      </c>
      <c r="E508" s="61" t="s">
        <v>500</v>
      </c>
      <c r="F508" s="61" t="s">
        <v>524</v>
      </c>
      <c r="G508" s="61" t="s">
        <v>511</v>
      </c>
      <c r="H508" s="61" t="s">
        <v>441</v>
      </c>
      <c r="I508" s="61" t="s">
        <v>442</v>
      </c>
      <c r="J508" s="61" t="s">
        <v>443</v>
      </c>
      <c r="K508" s="61" t="s">
        <v>443</v>
      </c>
      <c r="L508" s="64">
        <v>0</v>
      </c>
      <c r="M508" s="64">
        <v>29.643999999999998</v>
      </c>
      <c r="N508" s="64">
        <v>38.479999999999997</v>
      </c>
      <c r="O508" s="61" t="s">
        <v>444</v>
      </c>
      <c r="P508" s="64">
        <v>16.100000000000001</v>
      </c>
      <c r="Q508" s="65">
        <v>506.06</v>
      </c>
      <c r="R508" s="65">
        <v>257.02999999999997</v>
      </c>
      <c r="S508" s="65">
        <v>418.31</v>
      </c>
      <c r="T508" s="65">
        <v>0</v>
      </c>
      <c r="U508" s="65">
        <v>1181.3900000000001</v>
      </c>
    </row>
    <row r="509" spans="1:21" s="61" customFormat="1" hidden="1" x14ac:dyDescent="0.25">
      <c r="A509" s="62">
        <v>268532</v>
      </c>
      <c r="B509" s="61" t="s">
        <v>445</v>
      </c>
      <c r="C509" s="63">
        <v>38926</v>
      </c>
      <c r="D509" s="63">
        <v>38926.333333333336</v>
      </c>
      <c r="E509" s="61" t="s">
        <v>446</v>
      </c>
      <c r="F509" s="61" t="s">
        <v>516</v>
      </c>
      <c r="G509" s="61" t="s">
        <v>538</v>
      </c>
      <c r="H509" s="61" t="s">
        <v>441</v>
      </c>
      <c r="I509" s="61" t="s">
        <v>442</v>
      </c>
      <c r="J509" s="61" t="s">
        <v>443</v>
      </c>
      <c r="K509" s="61" t="s">
        <v>443</v>
      </c>
      <c r="L509" s="64">
        <v>0</v>
      </c>
      <c r="M509" s="64">
        <v>0</v>
      </c>
      <c r="N509" s="64">
        <v>28.173999999999999</v>
      </c>
      <c r="O509" s="61" t="s">
        <v>444</v>
      </c>
      <c r="P509" s="64">
        <v>1.92</v>
      </c>
      <c r="Q509" s="65">
        <v>158.97999999999999</v>
      </c>
      <c r="R509" s="65">
        <v>54.72</v>
      </c>
      <c r="S509" s="65">
        <v>0</v>
      </c>
      <c r="T509" s="65">
        <v>0</v>
      </c>
      <c r="U509" s="65">
        <v>213.7</v>
      </c>
    </row>
    <row r="510" spans="1:21" s="61" customFormat="1" hidden="1" x14ac:dyDescent="0.25">
      <c r="A510" s="62">
        <v>268425</v>
      </c>
      <c r="B510" s="61" t="s">
        <v>437</v>
      </c>
      <c r="C510" s="63">
        <v>38926</v>
      </c>
      <c r="D510" s="63">
        <v>38929</v>
      </c>
      <c r="E510" s="61" t="s">
        <v>450</v>
      </c>
      <c r="F510" s="61" t="s">
        <v>539</v>
      </c>
      <c r="G510" s="61" t="s">
        <v>538</v>
      </c>
      <c r="H510" s="61" t="s">
        <v>441</v>
      </c>
      <c r="I510" s="61" t="s">
        <v>442</v>
      </c>
      <c r="J510" s="61" t="s">
        <v>443</v>
      </c>
      <c r="K510" s="61" t="s">
        <v>443</v>
      </c>
      <c r="L510" s="64">
        <v>0</v>
      </c>
      <c r="M510" s="64">
        <v>0</v>
      </c>
      <c r="N510" s="64">
        <v>28.173999999999999</v>
      </c>
      <c r="O510" s="61" t="s">
        <v>444</v>
      </c>
      <c r="P510" s="64">
        <v>7.68</v>
      </c>
      <c r="Q510" s="65">
        <v>1280.06</v>
      </c>
      <c r="R510" s="65">
        <v>201.98</v>
      </c>
      <c r="S510" s="65">
        <v>650.96</v>
      </c>
      <c r="T510" s="65">
        <v>0</v>
      </c>
      <c r="U510" s="65">
        <v>2133</v>
      </c>
    </row>
    <row r="511" spans="1:21" s="61" customFormat="1" hidden="1" x14ac:dyDescent="0.25">
      <c r="A511" s="62">
        <v>260208</v>
      </c>
      <c r="B511" s="61" t="s">
        <v>472</v>
      </c>
      <c r="C511" s="63">
        <v>38922</v>
      </c>
      <c r="D511" s="63">
        <v>39225.333333333336</v>
      </c>
      <c r="E511" s="61" t="s">
        <v>500</v>
      </c>
      <c r="F511" s="61" t="s">
        <v>528</v>
      </c>
      <c r="G511" s="61" t="s">
        <v>538</v>
      </c>
      <c r="H511" s="61" t="s">
        <v>441</v>
      </c>
      <c r="I511" s="61" t="s">
        <v>442</v>
      </c>
      <c r="J511" s="61" t="s">
        <v>443</v>
      </c>
      <c r="K511" s="61" t="s">
        <v>443</v>
      </c>
      <c r="L511" s="64">
        <v>0</v>
      </c>
      <c r="M511" s="64">
        <v>0</v>
      </c>
      <c r="N511" s="64">
        <v>28.173999999999999</v>
      </c>
      <c r="O511" s="61" t="s">
        <v>444</v>
      </c>
      <c r="P511" s="64">
        <v>147.36000000000001</v>
      </c>
      <c r="Q511" s="65">
        <v>3170.69</v>
      </c>
      <c r="R511" s="65">
        <v>1241.95</v>
      </c>
      <c r="S511" s="65">
        <v>33.21</v>
      </c>
      <c r="T511" s="65">
        <v>0</v>
      </c>
      <c r="U511" s="65">
        <v>4445.8500000000004</v>
      </c>
    </row>
    <row r="512" spans="1:21" s="61" customFormat="1" hidden="1" x14ac:dyDescent="0.25">
      <c r="A512" s="62">
        <v>252523</v>
      </c>
      <c r="B512" s="61" t="s">
        <v>472</v>
      </c>
      <c r="C512" s="63">
        <v>38889</v>
      </c>
      <c r="D512" s="63">
        <v>38891.333333333336</v>
      </c>
      <c r="E512" s="61" t="s">
        <v>500</v>
      </c>
      <c r="F512" s="61" t="s">
        <v>526</v>
      </c>
      <c r="G512" s="61" t="s">
        <v>538</v>
      </c>
      <c r="H512" s="61" t="s">
        <v>441</v>
      </c>
      <c r="I512" s="61" t="s">
        <v>442</v>
      </c>
      <c r="J512" s="61" t="s">
        <v>443</v>
      </c>
      <c r="K512" s="61" t="s">
        <v>443</v>
      </c>
      <c r="L512" s="64">
        <v>0</v>
      </c>
      <c r="M512" s="64">
        <v>0</v>
      </c>
      <c r="N512" s="64">
        <v>28.173999999999999</v>
      </c>
      <c r="O512" s="61" t="s">
        <v>444</v>
      </c>
      <c r="P512" s="64">
        <v>32.64</v>
      </c>
      <c r="Q512" s="65">
        <v>2718.03</v>
      </c>
      <c r="R512" s="65">
        <v>695.04</v>
      </c>
      <c r="S512" s="65">
        <v>641.32000000000005</v>
      </c>
      <c r="T512" s="65">
        <v>0</v>
      </c>
      <c r="U512" s="65">
        <v>4054.39</v>
      </c>
    </row>
    <row r="513" spans="1:21" s="61" customFormat="1" hidden="1" x14ac:dyDescent="0.25">
      <c r="A513" s="62">
        <v>250712</v>
      </c>
      <c r="B513" s="61" t="s">
        <v>445</v>
      </c>
      <c r="C513" s="63">
        <v>38873</v>
      </c>
      <c r="D513" s="63">
        <v>38873.333333333336</v>
      </c>
      <c r="E513" s="61" t="s">
        <v>446</v>
      </c>
      <c r="F513" s="61" t="s">
        <v>534</v>
      </c>
      <c r="G513" s="61" t="s">
        <v>538</v>
      </c>
      <c r="H513" s="61" t="s">
        <v>441</v>
      </c>
      <c r="I513" s="61" t="s">
        <v>442</v>
      </c>
      <c r="J513" s="61" t="s">
        <v>443</v>
      </c>
      <c r="K513" s="61" t="s">
        <v>443</v>
      </c>
      <c r="L513" s="64">
        <v>0</v>
      </c>
      <c r="M513" s="64">
        <v>0</v>
      </c>
      <c r="N513" s="64">
        <v>28.173999999999999</v>
      </c>
      <c r="O513" s="61" t="s">
        <v>444</v>
      </c>
      <c r="P513" s="64">
        <v>5.76</v>
      </c>
      <c r="Q513" s="65">
        <v>86.82</v>
      </c>
      <c r="R513" s="65">
        <v>24.94</v>
      </c>
      <c r="S513" s="65">
        <v>0</v>
      </c>
      <c r="T513" s="65">
        <v>0</v>
      </c>
      <c r="U513" s="65">
        <v>111.76</v>
      </c>
    </row>
    <row r="514" spans="1:21" s="61" customFormat="1" hidden="1" x14ac:dyDescent="0.25">
      <c r="A514" s="62">
        <v>249115</v>
      </c>
      <c r="B514" s="61" t="s">
        <v>445</v>
      </c>
      <c r="C514" s="63">
        <v>38868</v>
      </c>
      <c r="D514" s="63">
        <v>38868.333333333336</v>
      </c>
      <c r="E514" s="61" t="s">
        <v>446</v>
      </c>
      <c r="F514" s="61" t="s">
        <v>530</v>
      </c>
      <c r="G514" s="61" t="s">
        <v>538</v>
      </c>
      <c r="H514" s="61" t="s">
        <v>441</v>
      </c>
      <c r="I514" s="61" t="s">
        <v>442</v>
      </c>
      <c r="J514" s="61" t="s">
        <v>443</v>
      </c>
      <c r="K514" s="61" t="s">
        <v>443</v>
      </c>
      <c r="L514" s="64">
        <v>0</v>
      </c>
      <c r="M514" s="64">
        <v>0</v>
      </c>
      <c r="N514" s="64">
        <v>28.173999999999999</v>
      </c>
      <c r="O514" s="61" t="s">
        <v>444</v>
      </c>
      <c r="P514" s="64">
        <v>21.12</v>
      </c>
      <c r="Q514" s="65">
        <v>173.64</v>
      </c>
      <c r="R514" s="65">
        <v>49.88</v>
      </c>
      <c r="S514" s="65">
        <v>0</v>
      </c>
      <c r="T514" s="65">
        <v>0</v>
      </c>
      <c r="U514" s="65">
        <v>223.53</v>
      </c>
    </row>
    <row r="515" spans="1:21" s="61" customFormat="1" hidden="1" x14ac:dyDescent="0.25">
      <c r="A515" s="62">
        <v>243136</v>
      </c>
      <c r="B515" s="61" t="s">
        <v>445</v>
      </c>
      <c r="C515" s="63">
        <v>38849</v>
      </c>
      <c r="D515" s="63">
        <v>38849.333333333336</v>
      </c>
      <c r="E515" s="61" t="s">
        <v>446</v>
      </c>
      <c r="F515" s="61" t="s">
        <v>530</v>
      </c>
      <c r="G515" s="61" t="s">
        <v>538</v>
      </c>
      <c r="H515" s="61" t="s">
        <v>441</v>
      </c>
      <c r="I515" s="61" t="s">
        <v>442</v>
      </c>
      <c r="J515" s="61" t="s">
        <v>443</v>
      </c>
      <c r="K515" s="61" t="s">
        <v>443</v>
      </c>
      <c r="L515" s="64">
        <v>0</v>
      </c>
      <c r="M515" s="64">
        <v>0</v>
      </c>
      <c r="N515" s="64">
        <v>28.173999999999999</v>
      </c>
      <c r="O515" s="61" t="s">
        <v>444</v>
      </c>
      <c r="P515" s="64">
        <v>5.28</v>
      </c>
      <c r="Q515" s="65">
        <v>86.82</v>
      </c>
      <c r="R515" s="65">
        <v>24.94</v>
      </c>
      <c r="S515" s="65">
        <v>0</v>
      </c>
      <c r="T515" s="65">
        <v>0</v>
      </c>
      <c r="U515" s="65">
        <v>111.76</v>
      </c>
    </row>
    <row r="516" spans="1:21" s="61" customFormat="1" hidden="1" x14ac:dyDescent="0.25">
      <c r="A516" s="62">
        <v>241988</v>
      </c>
      <c r="B516" s="61" t="s">
        <v>445</v>
      </c>
      <c r="C516" s="63">
        <v>38847</v>
      </c>
      <c r="D516" s="63">
        <v>38847.333333333336</v>
      </c>
      <c r="E516" s="61" t="s">
        <v>446</v>
      </c>
      <c r="F516" s="61" t="s">
        <v>514</v>
      </c>
      <c r="G516" s="61" t="s">
        <v>538</v>
      </c>
      <c r="H516" s="61" t="s">
        <v>441</v>
      </c>
      <c r="I516" s="61" t="s">
        <v>442</v>
      </c>
      <c r="J516" s="61" t="s">
        <v>443</v>
      </c>
      <c r="K516" s="61" t="s">
        <v>443</v>
      </c>
      <c r="L516" s="64">
        <v>0</v>
      </c>
      <c r="M516" s="64">
        <v>0</v>
      </c>
      <c r="N516" s="64">
        <v>28.173999999999999</v>
      </c>
      <c r="O516" s="61" t="s">
        <v>444</v>
      </c>
      <c r="P516" s="64">
        <v>14.4</v>
      </c>
      <c r="Q516" s="65">
        <v>86.82</v>
      </c>
      <c r="R516" s="65">
        <v>24.94</v>
      </c>
      <c r="S516" s="65">
        <v>0</v>
      </c>
      <c r="T516" s="65">
        <v>0</v>
      </c>
      <c r="U516" s="65">
        <v>111.76</v>
      </c>
    </row>
    <row r="517" spans="1:21" s="61" customFormat="1" hidden="1" x14ac:dyDescent="0.25">
      <c r="A517" s="62">
        <v>239186</v>
      </c>
      <c r="B517" s="61" t="s">
        <v>445</v>
      </c>
      <c r="C517" s="63">
        <v>38839</v>
      </c>
      <c r="D517" s="63">
        <v>38839.333333333336</v>
      </c>
      <c r="E517" s="61" t="s">
        <v>485</v>
      </c>
      <c r="F517" s="61" t="s">
        <v>516</v>
      </c>
      <c r="G517" s="61" t="s">
        <v>538</v>
      </c>
      <c r="H517" s="61" t="s">
        <v>457</v>
      </c>
      <c r="I517" s="61" t="s">
        <v>442</v>
      </c>
      <c r="J517" s="61" t="s">
        <v>443</v>
      </c>
      <c r="K517" s="61" t="s">
        <v>443</v>
      </c>
      <c r="L517" s="64">
        <v>0</v>
      </c>
      <c r="M517" s="64">
        <v>0</v>
      </c>
      <c r="N517" s="64">
        <v>28.173999999999999</v>
      </c>
      <c r="O517" s="61" t="s">
        <v>444</v>
      </c>
      <c r="P517" s="64">
        <v>2.88</v>
      </c>
      <c r="Q517" s="65">
        <v>173.64</v>
      </c>
      <c r="R517" s="65">
        <v>49.88</v>
      </c>
      <c r="S517" s="65">
        <v>0</v>
      </c>
      <c r="T517" s="65">
        <v>0</v>
      </c>
      <c r="U517" s="65">
        <v>223.53</v>
      </c>
    </row>
    <row r="518" spans="1:21" s="61" customFormat="1" hidden="1" x14ac:dyDescent="0.25">
      <c r="A518" s="62">
        <v>239185</v>
      </c>
      <c r="B518" s="61" t="s">
        <v>445</v>
      </c>
      <c r="C518" s="63">
        <v>38839</v>
      </c>
      <c r="D518" s="63">
        <v>38839.333333333336</v>
      </c>
      <c r="E518" s="61" t="s">
        <v>485</v>
      </c>
      <c r="F518" s="61" t="s">
        <v>516</v>
      </c>
      <c r="G518" s="61" t="s">
        <v>538</v>
      </c>
      <c r="H518" s="61" t="s">
        <v>457</v>
      </c>
      <c r="I518" s="61" t="s">
        <v>442</v>
      </c>
      <c r="J518" s="61" t="s">
        <v>443</v>
      </c>
      <c r="K518" s="61" t="s">
        <v>443</v>
      </c>
      <c r="L518" s="64">
        <v>0</v>
      </c>
      <c r="M518" s="64">
        <v>0</v>
      </c>
      <c r="N518" s="64">
        <v>28.173999999999999</v>
      </c>
      <c r="O518" s="61" t="s">
        <v>444</v>
      </c>
      <c r="P518" s="64">
        <v>2.88</v>
      </c>
      <c r="Q518" s="65">
        <v>173.64</v>
      </c>
      <c r="R518" s="65">
        <v>49.88</v>
      </c>
      <c r="S518" s="65">
        <v>0</v>
      </c>
      <c r="T518" s="65">
        <v>0</v>
      </c>
      <c r="U518" s="65">
        <v>223.53</v>
      </c>
    </row>
    <row r="519" spans="1:21" s="61" customFormat="1" hidden="1" x14ac:dyDescent="0.25">
      <c r="A519" s="62">
        <v>237978</v>
      </c>
      <c r="B519" s="61" t="s">
        <v>445</v>
      </c>
      <c r="C519" s="63">
        <v>38836</v>
      </c>
      <c r="D519" s="63">
        <v>38836.333333333336</v>
      </c>
      <c r="E519" s="61" t="s">
        <v>518</v>
      </c>
      <c r="F519" s="61" t="s">
        <v>540</v>
      </c>
      <c r="G519" s="61" t="s">
        <v>538</v>
      </c>
      <c r="H519" s="61" t="s">
        <v>520</v>
      </c>
      <c r="I519" s="61" t="s">
        <v>442</v>
      </c>
      <c r="J519" s="61" t="s">
        <v>443</v>
      </c>
      <c r="K519" s="61" t="s">
        <v>443</v>
      </c>
      <c r="L519" s="64">
        <v>0</v>
      </c>
      <c r="M519" s="64">
        <v>0</v>
      </c>
      <c r="N519" s="64">
        <v>28.173999999999999</v>
      </c>
      <c r="O519" s="61" t="s">
        <v>444</v>
      </c>
      <c r="P519" s="64">
        <v>0.96</v>
      </c>
      <c r="Q519" s="65">
        <v>107.57</v>
      </c>
      <c r="R519" s="65">
        <v>50.11</v>
      </c>
      <c r="S519" s="65">
        <v>0</v>
      </c>
      <c r="T519" s="65">
        <v>0</v>
      </c>
      <c r="U519" s="65">
        <v>157.68</v>
      </c>
    </row>
    <row r="520" spans="1:21" s="61" customFormat="1" hidden="1" x14ac:dyDescent="0.25">
      <c r="A520" s="62">
        <v>234024</v>
      </c>
      <c r="B520" s="61" t="s">
        <v>445</v>
      </c>
      <c r="C520" s="63">
        <v>38824</v>
      </c>
      <c r="D520" s="63">
        <v>38824.333333333336</v>
      </c>
      <c r="E520" s="61" t="s">
        <v>446</v>
      </c>
      <c r="F520" s="61" t="s">
        <v>530</v>
      </c>
      <c r="G520" s="61" t="s">
        <v>538</v>
      </c>
      <c r="H520" s="61" t="s">
        <v>441</v>
      </c>
      <c r="I520" s="61" t="s">
        <v>442</v>
      </c>
      <c r="J520" s="61" t="s">
        <v>443</v>
      </c>
      <c r="K520" s="61" t="s">
        <v>443</v>
      </c>
      <c r="L520" s="64">
        <v>0</v>
      </c>
      <c r="M520" s="64">
        <v>0</v>
      </c>
      <c r="N520" s="64">
        <v>28.173999999999999</v>
      </c>
      <c r="O520" s="61" t="s">
        <v>444</v>
      </c>
      <c r="P520" s="64">
        <v>2.88</v>
      </c>
      <c r="Q520" s="65">
        <v>217.06</v>
      </c>
      <c r="R520" s="65">
        <v>62.35</v>
      </c>
      <c r="S520" s="65">
        <v>0</v>
      </c>
      <c r="T520" s="65">
        <v>0</v>
      </c>
      <c r="U520" s="65">
        <v>279.41000000000003</v>
      </c>
    </row>
    <row r="521" spans="1:21" s="61" customFormat="1" hidden="1" x14ac:dyDescent="0.25">
      <c r="A521" s="62">
        <v>231306</v>
      </c>
      <c r="B521" s="61" t="s">
        <v>472</v>
      </c>
      <c r="C521" s="63">
        <v>38811</v>
      </c>
      <c r="D521" s="63">
        <v>38811.333333333336</v>
      </c>
      <c r="E521" s="61" t="s">
        <v>500</v>
      </c>
      <c r="F521" s="61" t="s">
        <v>528</v>
      </c>
      <c r="G521" s="61" t="s">
        <v>538</v>
      </c>
      <c r="H521" s="61" t="s">
        <v>441</v>
      </c>
      <c r="I521" s="61" t="s">
        <v>442</v>
      </c>
      <c r="J521" s="61" t="s">
        <v>443</v>
      </c>
      <c r="K521" s="61" t="s">
        <v>443</v>
      </c>
      <c r="L521" s="64">
        <v>0</v>
      </c>
      <c r="M521" s="64">
        <v>0</v>
      </c>
      <c r="N521" s="64">
        <v>28.173999999999999</v>
      </c>
      <c r="O521" s="61" t="s">
        <v>444</v>
      </c>
      <c r="P521" s="64">
        <v>25.92</v>
      </c>
      <c r="Q521" s="65">
        <v>598.69000000000005</v>
      </c>
      <c r="R521" s="65">
        <v>82.18</v>
      </c>
      <c r="S521" s="65">
        <v>0</v>
      </c>
      <c r="T521" s="65">
        <v>0</v>
      </c>
      <c r="U521" s="65">
        <v>680.87</v>
      </c>
    </row>
    <row r="522" spans="1:21" s="61" customFormat="1" hidden="1" x14ac:dyDescent="0.25">
      <c r="A522" s="62">
        <v>228947</v>
      </c>
      <c r="B522" s="61" t="s">
        <v>445</v>
      </c>
      <c r="C522" s="63">
        <v>38806</v>
      </c>
      <c r="D522" s="63">
        <v>38806.333333333336</v>
      </c>
      <c r="E522" s="61" t="s">
        <v>446</v>
      </c>
      <c r="F522" s="61" t="s">
        <v>534</v>
      </c>
      <c r="G522" s="61" t="s">
        <v>538</v>
      </c>
      <c r="H522" s="61" t="s">
        <v>441</v>
      </c>
      <c r="I522" s="61" t="s">
        <v>442</v>
      </c>
      <c r="J522" s="61" t="s">
        <v>443</v>
      </c>
      <c r="K522" s="61" t="s">
        <v>443</v>
      </c>
      <c r="L522" s="64">
        <v>0</v>
      </c>
      <c r="M522" s="64">
        <v>0</v>
      </c>
      <c r="N522" s="64">
        <v>28.173999999999999</v>
      </c>
      <c r="O522" s="61" t="s">
        <v>444</v>
      </c>
      <c r="P522" s="64">
        <v>2.88</v>
      </c>
      <c r="Q522" s="65">
        <v>173.64</v>
      </c>
      <c r="R522" s="65">
        <v>140.88999999999999</v>
      </c>
      <c r="S522" s="65">
        <v>0</v>
      </c>
      <c r="T522" s="65">
        <v>0</v>
      </c>
      <c r="U522" s="65">
        <v>314.52999999999997</v>
      </c>
    </row>
    <row r="523" spans="1:21" s="61" customFormat="1" hidden="1" x14ac:dyDescent="0.25">
      <c r="A523" s="62">
        <v>226394</v>
      </c>
      <c r="B523" s="61" t="s">
        <v>445</v>
      </c>
      <c r="C523" s="63">
        <v>38799</v>
      </c>
      <c r="D523" s="63">
        <v>38799.333333333336</v>
      </c>
      <c r="E523" s="61" t="s">
        <v>485</v>
      </c>
      <c r="F523" s="61" t="s">
        <v>541</v>
      </c>
      <c r="G523" s="61" t="s">
        <v>538</v>
      </c>
      <c r="H523" s="61" t="s">
        <v>457</v>
      </c>
      <c r="I523" s="61" t="s">
        <v>442</v>
      </c>
      <c r="J523" s="61" t="s">
        <v>443</v>
      </c>
      <c r="K523" s="61" t="s">
        <v>443</v>
      </c>
      <c r="L523" s="64">
        <v>0</v>
      </c>
      <c r="M523" s="64">
        <v>0</v>
      </c>
      <c r="N523" s="64">
        <v>28.173999999999999</v>
      </c>
      <c r="O523" s="61" t="s">
        <v>444</v>
      </c>
      <c r="P523" s="64">
        <v>72</v>
      </c>
      <c r="Q523" s="65">
        <v>1501.75</v>
      </c>
      <c r="R523" s="65">
        <v>140.54</v>
      </c>
      <c r="S523" s="65">
        <v>0</v>
      </c>
      <c r="T523" s="65">
        <v>0</v>
      </c>
      <c r="U523" s="65">
        <v>1642.29</v>
      </c>
    </row>
    <row r="524" spans="1:21" s="61" customFormat="1" hidden="1" x14ac:dyDescent="0.25">
      <c r="A524" s="62">
        <v>223095</v>
      </c>
      <c r="B524" s="61" t="s">
        <v>445</v>
      </c>
      <c r="C524" s="63">
        <v>38791</v>
      </c>
      <c r="D524" s="63">
        <v>38791.333333333336</v>
      </c>
      <c r="E524" s="61" t="s">
        <v>446</v>
      </c>
      <c r="F524" s="61" t="s">
        <v>514</v>
      </c>
      <c r="G524" s="61" t="s">
        <v>538</v>
      </c>
      <c r="H524" s="61" t="s">
        <v>441</v>
      </c>
      <c r="I524" s="61" t="s">
        <v>442</v>
      </c>
      <c r="J524" s="61" t="s">
        <v>443</v>
      </c>
      <c r="K524" s="61" t="s">
        <v>443</v>
      </c>
      <c r="L524" s="64">
        <v>0</v>
      </c>
      <c r="M524" s="64">
        <v>0</v>
      </c>
      <c r="N524" s="64">
        <v>28.173999999999999</v>
      </c>
      <c r="O524" s="61" t="s">
        <v>444</v>
      </c>
      <c r="P524" s="64">
        <v>15.36</v>
      </c>
      <c r="Q524" s="65">
        <v>86.82</v>
      </c>
      <c r="R524" s="65">
        <v>24.94</v>
      </c>
      <c r="S524" s="65">
        <v>0</v>
      </c>
      <c r="T524" s="65">
        <v>0</v>
      </c>
      <c r="U524" s="65">
        <v>111.76</v>
      </c>
    </row>
    <row r="525" spans="1:21" s="61" customFormat="1" hidden="1" x14ac:dyDescent="0.25">
      <c r="A525" s="62">
        <v>221620</v>
      </c>
      <c r="B525" s="61" t="s">
        <v>445</v>
      </c>
      <c r="C525" s="63">
        <v>38786</v>
      </c>
      <c r="D525" s="63">
        <v>38786.333333333336</v>
      </c>
      <c r="E525" s="61" t="s">
        <v>518</v>
      </c>
      <c r="F525" s="61" t="s">
        <v>519</v>
      </c>
      <c r="G525" s="61" t="s">
        <v>542</v>
      </c>
      <c r="H525" s="61" t="s">
        <v>520</v>
      </c>
      <c r="I525" s="61" t="s">
        <v>442</v>
      </c>
      <c r="J525" s="61" t="s">
        <v>443</v>
      </c>
      <c r="K525" s="61" t="s">
        <v>443</v>
      </c>
      <c r="L525" s="64">
        <v>0</v>
      </c>
      <c r="M525" s="64">
        <v>31.09</v>
      </c>
      <c r="N525" s="64">
        <v>38.479999999999997</v>
      </c>
      <c r="O525" s="61" t="s">
        <v>444</v>
      </c>
      <c r="P525" s="64">
        <v>1</v>
      </c>
      <c r="Q525" s="65">
        <v>33.619999999999997</v>
      </c>
      <c r="R525" s="65">
        <v>26.1</v>
      </c>
      <c r="S525" s="65">
        <v>0</v>
      </c>
      <c r="T525" s="65">
        <v>0</v>
      </c>
      <c r="U525" s="65">
        <v>59.72</v>
      </c>
    </row>
    <row r="526" spans="1:21" s="61" customFormat="1" hidden="1" x14ac:dyDescent="0.25">
      <c r="A526" s="62">
        <v>221602</v>
      </c>
      <c r="B526" s="61" t="s">
        <v>445</v>
      </c>
      <c r="C526" s="63">
        <v>38786</v>
      </c>
      <c r="D526" s="63">
        <v>38786.333333333336</v>
      </c>
      <c r="E526" s="61" t="s">
        <v>518</v>
      </c>
      <c r="F526" s="61" t="s">
        <v>519</v>
      </c>
      <c r="G526" s="61" t="s">
        <v>543</v>
      </c>
      <c r="H526" s="61" t="s">
        <v>520</v>
      </c>
      <c r="I526" s="61" t="s">
        <v>442</v>
      </c>
      <c r="J526" s="61" t="s">
        <v>443</v>
      </c>
      <c r="K526" s="61" t="s">
        <v>443</v>
      </c>
      <c r="L526" s="64">
        <v>0</v>
      </c>
      <c r="M526" s="64">
        <v>30.95</v>
      </c>
      <c r="N526" s="64">
        <v>31.09</v>
      </c>
      <c r="O526" s="61" t="s">
        <v>444</v>
      </c>
      <c r="P526" s="64">
        <v>1</v>
      </c>
      <c r="Q526" s="65">
        <v>33.619999999999997</v>
      </c>
      <c r="R526" s="65">
        <v>26.1</v>
      </c>
      <c r="S526" s="65">
        <v>0</v>
      </c>
      <c r="T526" s="65">
        <v>0</v>
      </c>
      <c r="U526" s="65">
        <v>59.72</v>
      </c>
    </row>
    <row r="527" spans="1:21" s="61" customFormat="1" hidden="1" x14ac:dyDescent="0.25">
      <c r="A527" s="62">
        <v>220973</v>
      </c>
      <c r="B527" s="61" t="s">
        <v>445</v>
      </c>
      <c r="C527" s="63">
        <v>38785</v>
      </c>
      <c r="D527" s="63">
        <v>38785.333333333336</v>
      </c>
      <c r="E527" s="61" t="s">
        <v>446</v>
      </c>
      <c r="F527" s="61" t="s">
        <v>534</v>
      </c>
      <c r="G527" s="61" t="s">
        <v>542</v>
      </c>
      <c r="H527" s="61" t="s">
        <v>441</v>
      </c>
      <c r="I527" s="61" t="s">
        <v>442</v>
      </c>
      <c r="J527" s="61" t="s">
        <v>443</v>
      </c>
      <c r="K527" s="61" t="s">
        <v>443</v>
      </c>
      <c r="L527" s="64">
        <v>0</v>
      </c>
      <c r="M527" s="64">
        <v>31.09</v>
      </c>
      <c r="N527" s="64">
        <v>38.479999999999997</v>
      </c>
      <c r="O527" s="61" t="s">
        <v>444</v>
      </c>
      <c r="P527" s="64">
        <v>6</v>
      </c>
      <c r="Q527" s="65">
        <v>226.1</v>
      </c>
      <c r="R527" s="65">
        <v>64.95</v>
      </c>
      <c r="S527" s="65">
        <v>0</v>
      </c>
      <c r="T527" s="65">
        <v>0</v>
      </c>
      <c r="U527" s="65">
        <v>291.05</v>
      </c>
    </row>
    <row r="528" spans="1:21" s="61" customFormat="1" hidden="1" x14ac:dyDescent="0.25">
      <c r="A528" s="62">
        <v>220543</v>
      </c>
      <c r="B528" s="61" t="s">
        <v>445</v>
      </c>
      <c r="C528" s="63">
        <v>38784</v>
      </c>
      <c r="D528" s="63">
        <v>38784.333333333336</v>
      </c>
      <c r="E528" s="61" t="s">
        <v>446</v>
      </c>
      <c r="F528" s="61" t="s">
        <v>530</v>
      </c>
      <c r="G528" s="61" t="s">
        <v>538</v>
      </c>
      <c r="H528" s="61" t="s">
        <v>441</v>
      </c>
      <c r="I528" s="61" t="s">
        <v>442</v>
      </c>
      <c r="J528" s="61" t="s">
        <v>443</v>
      </c>
      <c r="K528" s="61" t="s">
        <v>443</v>
      </c>
      <c r="L528" s="64">
        <v>0</v>
      </c>
      <c r="M528" s="64">
        <v>0</v>
      </c>
      <c r="N528" s="64">
        <v>28.173999999999999</v>
      </c>
      <c r="O528" s="61" t="s">
        <v>444</v>
      </c>
      <c r="P528" s="64">
        <v>4.8</v>
      </c>
      <c r="Q528" s="65">
        <v>43.41</v>
      </c>
      <c r="R528" s="65">
        <v>12.47</v>
      </c>
      <c r="S528" s="65">
        <v>0</v>
      </c>
      <c r="T528" s="65">
        <v>0</v>
      </c>
      <c r="U528" s="65">
        <v>55.88</v>
      </c>
    </row>
    <row r="529" spans="1:21" s="61" customFormat="1" hidden="1" x14ac:dyDescent="0.25">
      <c r="A529" s="62">
        <v>219545</v>
      </c>
      <c r="B529" s="61" t="s">
        <v>445</v>
      </c>
      <c r="C529" s="63">
        <v>38782</v>
      </c>
      <c r="D529" s="63">
        <v>38782.333333333336</v>
      </c>
      <c r="E529" s="61" t="s">
        <v>446</v>
      </c>
      <c r="F529" s="61" t="s">
        <v>541</v>
      </c>
      <c r="G529" s="61" t="s">
        <v>538</v>
      </c>
      <c r="H529" s="61" t="s">
        <v>441</v>
      </c>
      <c r="I529" s="61" t="s">
        <v>442</v>
      </c>
      <c r="J529" s="61" t="s">
        <v>443</v>
      </c>
      <c r="K529" s="61" t="s">
        <v>443</v>
      </c>
      <c r="L529" s="64">
        <v>0</v>
      </c>
      <c r="M529" s="64">
        <v>0</v>
      </c>
      <c r="N529" s="64">
        <v>28.173999999999999</v>
      </c>
      <c r="O529" s="61" t="s">
        <v>444</v>
      </c>
      <c r="P529" s="64">
        <v>48</v>
      </c>
      <c r="Q529" s="65">
        <v>1041.8699999999999</v>
      </c>
      <c r="R529" s="65">
        <v>140.54</v>
      </c>
      <c r="S529" s="65">
        <v>0</v>
      </c>
      <c r="T529" s="65">
        <v>0</v>
      </c>
      <c r="U529" s="65">
        <v>1182.4100000000001</v>
      </c>
    </row>
    <row r="530" spans="1:21" s="61" customFormat="1" hidden="1" x14ac:dyDescent="0.25">
      <c r="A530" s="62">
        <v>217252</v>
      </c>
      <c r="B530" s="61" t="s">
        <v>445</v>
      </c>
      <c r="C530" s="63">
        <v>38775</v>
      </c>
      <c r="D530" s="63">
        <v>38775.333333333336</v>
      </c>
      <c r="E530" s="61" t="s">
        <v>446</v>
      </c>
      <c r="F530" s="61" t="s">
        <v>534</v>
      </c>
      <c r="G530" s="61" t="s">
        <v>538</v>
      </c>
      <c r="H530" s="61" t="s">
        <v>441</v>
      </c>
      <c r="I530" s="61" t="s">
        <v>442</v>
      </c>
      <c r="J530" s="61" t="s">
        <v>443</v>
      </c>
      <c r="K530" s="61" t="s">
        <v>443</v>
      </c>
      <c r="L530" s="64">
        <v>0</v>
      </c>
      <c r="M530" s="64">
        <v>0</v>
      </c>
      <c r="N530" s="64">
        <v>28.173999999999999</v>
      </c>
      <c r="O530" s="61" t="s">
        <v>444</v>
      </c>
      <c r="P530" s="64">
        <v>9.6</v>
      </c>
      <c r="Q530" s="65">
        <v>173.64</v>
      </c>
      <c r="R530" s="65">
        <v>49.88</v>
      </c>
      <c r="S530" s="65">
        <v>0</v>
      </c>
      <c r="T530" s="65">
        <v>0</v>
      </c>
      <c r="U530" s="65">
        <v>223.53</v>
      </c>
    </row>
    <row r="531" spans="1:21" s="61" customFormat="1" hidden="1" x14ac:dyDescent="0.25">
      <c r="A531" s="62">
        <v>215860</v>
      </c>
      <c r="B531" s="61" t="s">
        <v>437</v>
      </c>
      <c r="C531" s="63">
        <v>38772</v>
      </c>
      <c r="D531" s="63">
        <v>38775</v>
      </c>
      <c r="E531" s="61" t="s">
        <v>544</v>
      </c>
      <c r="F531" s="61" t="s">
        <v>545</v>
      </c>
      <c r="G531" s="61" t="s">
        <v>538</v>
      </c>
      <c r="H531" s="61" t="s">
        <v>546</v>
      </c>
      <c r="I531" s="61" t="s">
        <v>442</v>
      </c>
      <c r="J531" s="61" t="s">
        <v>443</v>
      </c>
      <c r="K531" s="61" t="s">
        <v>443</v>
      </c>
      <c r="L531" s="64">
        <v>0</v>
      </c>
      <c r="M531" s="64">
        <v>0</v>
      </c>
      <c r="N531" s="64">
        <v>28.173999999999999</v>
      </c>
      <c r="O531" s="61" t="s">
        <v>444</v>
      </c>
      <c r="P531" s="64">
        <v>28.8</v>
      </c>
      <c r="Q531" s="65">
        <v>2305.08</v>
      </c>
      <c r="R531" s="65">
        <v>1148.54</v>
      </c>
      <c r="S531" s="65">
        <v>1322.92</v>
      </c>
      <c r="T531" s="65">
        <v>0</v>
      </c>
      <c r="U531" s="65">
        <v>4776.54</v>
      </c>
    </row>
    <row r="532" spans="1:21" s="61" customFormat="1" hidden="1" x14ac:dyDescent="0.25">
      <c r="A532" s="62">
        <v>215371</v>
      </c>
      <c r="B532" s="61" t="s">
        <v>437</v>
      </c>
      <c r="C532" s="63">
        <v>38771</v>
      </c>
      <c r="D532" s="63">
        <v>38771.333333333336</v>
      </c>
      <c r="E532" s="61" t="s">
        <v>450</v>
      </c>
      <c r="F532" s="61" t="s">
        <v>539</v>
      </c>
      <c r="G532" s="61" t="s">
        <v>538</v>
      </c>
      <c r="H532" s="61" t="s">
        <v>441</v>
      </c>
      <c r="I532" s="61" t="s">
        <v>442</v>
      </c>
      <c r="J532" s="61" t="s">
        <v>443</v>
      </c>
      <c r="K532" s="61" t="s">
        <v>443</v>
      </c>
      <c r="L532" s="64">
        <v>0</v>
      </c>
      <c r="M532" s="64">
        <v>0</v>
      </c>
      <c r="N532" s="64">
        <v>28.173999999999999</v>
      </c>
      <c r="O532" s="61" t="s">
        <v>444</v>
      </c>
      <c r="P532" s="64">
        <v>7.68</v>
      </c>
      <c r="Q532" s="65">
        <v>1628.65</v>
      </c>
      <c r="R532" s="65">
        <v>407.42</v>
      </c>
      <c r="S532" s="65">
        <v>650.96</v>
      </c>
      <c r="T532" s="65">
        <v>0</v>
      </c>
      <c r="U532" s="65">
        <v>2687.03</v>
      </c>
    </row>
    <row r="533" spans="1:21" s="61" customFormat="1" hidden="1" x14ac:dyDescent="0.25">
      <c r="A533" s="62">
        <v>214483</v>
      </c>
      <c r="B533" s="61" t="s">
        <v>437</v>
      </c>
      <c r="C533" s="63">
        <v>38769</v>
      </c>
      <c r="D533" s="63">
        <v>38775</v>
      </c>
      <c r="E533" s="61" t="s">
        <v>450</v>
      </c>
      <c r="F533" s="61" t="s">
        <v>533</v>
      </c>
      <c r="G533" s="61" t="s">
        <v>542</v>
      </c>
      <c r="H533" s="61" t="s">
        <v>441</v>
      </c>
      <c r="I533" s="61" t="s">
        <v>442</v>
      </c>
      <c r="J533" s="61" t="s">
        <v>443</v>
      </c>
      <c r="K533" s="61" t="s">
        <v>443</v>
      </c>
      <c r="L533" s="64">
        <v>0</v>
      </c>
      <c r="M533" s="64">
        <v>31.09</v>
      </c>
      <c r="N533" s="64">
        <v>38.479999999999997</v>
      </c>
      <c r="O533" s="61" t="s">
        <v>444</v>
      </c>
      <c r="P533" s="64">
        <v>30</v>
      </c>
      <c r="Q533" s="65">
        <v>1847.49</v>
      </c>
      <c r="R533" s="65">
        <v>484</v>
      </c>
      <c r="S533" s="65">
        <v>318.13</v>
      </c>
      <c r="T533" s="65">
        <v>0</v>
      </c>
      <c r="U533" s="65">
        <v>2649.62</v>
      </c>
    </row>
    <row r="534" spans="1:21" s="61" customFormat="1" hidden="1" x14ac:dyDescent="0.25">
      <c r="A534" s="62">
        <v>213907</v>
      </c>
      <c r="B534" s="61" t="s">
        <v>445</v>
      </c>
      <c r="C534" s="63">
        <v>38765</v>
      </c>
      <c r="D534" s="63">
        <v>38765.333333333336</v>
      </c>
      <c r="E534" s="61" t="s">
        <v>446</v>
      </c>
      <c r="F534" s="61" t="s">
        <v>530</v>
      </c>
      <c r="G534" s="61" t="s">
        <v>538</v>
      </c>
      <c r="H534" s="61" t="s">
        <v>441</v>
      </c>
      <c r="I534" s="61" t="s">
        <v>442</v>
      </c>
      <c r="J534" s="61" t="s">
        <v>443</v>
      </c>
      <c r="K534" s="61" t="s">
        <v>443</v>
      </c>
      <c r="L534" s="64">
        <v>0</v>
      </c>
      <c r="M534" s="64">
        <v>0</v>
      </c>
      <c r="N534" s="64">
        <v>28.173999999999999</v>
      </c>
      <c r="O534" s="61" t="s">
        <v>444</v>
      </c>
      <c r="P534" s="64">
        <v>13.44</v>
      </c>
      <c r="Q534" s="65">
        <v>43.41</v>
      </c>
      <c r="R534" s="65">
        <v>12.47</v>
      </c>
      <c r="S534" s="65">
        <v>0</v>
      </c>
      <c r="T534" s="65">
        <v>0</v>
      </c>
      <c r="U534" s="65">
        <v>55.88</v>
      </c>
    </row>
    <row r="535" spans="1:21" s="61" customFormat="1" hidden="1" x14ac:dyDescent="0.25">
      <c r="A535" s="62">
        <v>213906</v>
      </c>
      <c r="B535" s="61" t="s">
        <v>445</v>
      </c>
      <c r="C535" s="63">
        <v>38765</v>
      </c>
      <c r="D535" s="63">
        <v>38765.333333333336</v>
      </c>
      <c r="E535" s="61" t="s">
        <v>446</v>
      </c>
      <c r="F535" s="61" t="s">
        <v>534</v>
      </c>
      <c r="G535" s="61" t="s">
        <v>538</v>
      </c>
      <c r="H535" s="61" t="s">
        <v>441</v>
      </c>
      <c r="I535" s="61" t="s">
        <v>442</v>
      </c>
      <c r="J535" s="61" t="s">
        <v>443</v>
      </c>
      <c r="K535" s="61" t="s">
        <v>443</v>
      </c>
      <c r="L535" s="64">
        <v>0</v>
      </c>
      <c r="M535" s="64">
        <v>0</v>
      </c>
      <c r="N535" s="64">
        <v>28.173999999999999</v>
      </c>
      <c r="O535" s="61" t="s">
        <v>444</v>
      </c>
      <c r="P535" s="64">
        <v>4.8</v>
      </c>
      <c r="Q535" s="65">
        <v>130.22999999999999</v>
      </c>
      <c r="R535" s="65">
        <v>37.409999999999997</v>
      </c>
      <c r="S535" s="65">
        <v>0</v>
      </c>
      <c r="T535" s="65">
        <v>0</v>
      </c>
      <c r="U535" s="65">
        <v>167.64</v>
      </c>
    </row>
    <row r="536" spans="1:21" s="61" customFormat="1" hidden="1" x14ac:dyDescent="0.25">
      <c r="A536" s="62">
        <v>213452</v>
      </c>
      <c r="B536" s="61" t="s">
        <v>445</v>
      </c>
      <c r="C536" s="63">
        <v>38765</v>
      </c>
      <c r="D536" s="63">
        <v>38765.333333333336</v>
      </c>
      <c r="E536" s="61" t="s">
        <v>485</v>
      </c>
      <c r="F536" s="61" t="s">
        <v>534</v>
      </c>
      <c r="G536" s="61" t="s">
        <v>538</v>
      </c>
      <c r="H536" s="61" t="s">
        <v>457</v>
      </c>
      <c r="I536" s="61" t="s">
        <v>442</v>
      </c>
      <c r="J536" s="61" t="s">
        <v>443</v>
      </c>
      <c r="K536" s="61" t="s">
        <v>443</v>
      </c>
      <c r="L536" s="64">
        <v>0</v>
      </c>
      <c r="M536" s="64">
        <v>0</v>
      </c>
      <c r="N536" s="64">
        <v>28.173999999999999</v>
      </c>
      <c r="O536" s="61" t="s">
        <v>444</v>
      </c>
      <c r="P536" s="64">
        <v>0</v>
      </c>
      <c r="Q536" s="65">
        <v>0</v>
      </c>
      <c r="R536" s="65">
        <v>0</v>
      </c>
      <c r="S536" s="65">
        <v>0</v>
      </c>
      <c r="T536" s="65">
        <v>0</v>
      </c>
      <c r="U536" s="65">
        <v>0</v>
      </c>
    </row>
    <row r="537" spans="1:21" s="61" customFormat="1" hidden="1" x14ac:dyDescent="0.25">
      <c r="A537" s="62">
        <v>211603</v>
      </c>
      <c r="B537" s="61" t="s">
        <v>472</v>
      </c>
      <c r="C537" s="63">
        <v>38818</v>
      </c>
      <c r="D537" s="63">
        <v>38846.333333333336</v>
      </c>
      <c r="E537" s="61" t="s">
        <v>500</v>
      </c>
      <c r="F537" s="61" t="s">
        <v>524</v>
      </c>
      <c r="G537" s="61" t="s">
        <v>538</v>
      </c>
      <c r="H537" s="61" t="s">
        <v>441</v>
      </c>
      <c r="I537" s="61" t="s">
        <v>442</v>
      </c>
      <c r="J537" s="61" t="s">
        <v>443</v>
      </c>
      <c r="K537" s="61" t="s">
        <v>443</v>
      </c>
      <c r="L537" s="64">
        <v>0</v>
      </c>
      <c r="M537" s="64">
        <v>0</v>
      </c>
      <c r="N537" s="64">
        <v>28.173999999999999</v>
      </c>
      <c r="O537" s="61" t="s">
        <v>444</v>
      </c>
      <c r="P537" s="64">
        <v>36.479999999999997</v>
      </c>
      <c r="Q537" s="65">
        <v>1192.51</v>
      </c>
      <c r="R537" s="65">
        <v>753.02</v>
      </c>
      <c r="S537" s="65">
        <v>1115.29</v>
      </c>
      <c r="T537" s="65">
        <v>0</v>
      </c>
      <c r="U537" s="65">
        <v>3060.83</v>
      </c>
    </row>
    <row r="538" spans="1:21" s="61" customFormat="1" hidden="1" x14ac:dyDescent="0.25">
      <c r="A538" s="62">
        <v>208357</v>
      </c>
      <c r="B538" s="61" t="s">
        <v>472</v>
      </c>
      <c r="C538" s="63">
        <v>38771</v>
      </c>
      <c r="D538" s="63">
        <v>38771.333333333336</v>
      </c>
      <c r="E538" s="61" t="s">
        <v>547</v>
      </c>
      <c r="F538" s="61" t="s">
        <v>528</v>
      </c>
      <c r="G538" s="61" t="s">
        <v>548</v>
      </c>
      <c r="H538" s="61" t="s">
        <v>546</v>
      </c>
      <c r="I538" s="61" t="s">
        <v>454</v>
      </c>
      <c r="J538" s="61" t="s">
        <v>443</v>
      </c>
      <c r="K538" s="61" t="s">
        <v>443</v>
      </c>
      <c r="L538" s="64">
        <v>0</v>
      </c>
      <c r="M538" s="64">
        <v>2.5</v>
      </c>
      <c r="N538" s="64">
        <v>3.4409999999999998</v>
      </c>
      <c r="O538" s="61" t="s">
        <v>444</v>
      </c>
      <c r="P538" s="64">
        <v>21.5</v>
      </c>
      <c r="Q538" s="65">
        <v>542.67999999999995</v>
      </c>
      <c r="R538" s="65">
        <v>108.8</v>
      </c>
      <c r="S538" s="65">
        <v>0</v>
      </c>
      <c r="T538" s="65">
        <v>0</v>
      </c>
      <c r="U538" s="65">
        <v>651.48</v>
      </c>
    </row>
    <row r="539" spans="1:21" s="61" customFormat="1" hidden="1" x14ac:dyDescent="0.25">
      <c r="A539" s="62">
        <v>208114</v>
      </c>
      <c r="B539" s="61" t="s">
        <v>445</v>
      </c>
      <c r="C539" s="63">
        <v>38750</v>
      </c>
      <c r="D539" s="63">
        <v>38750.333333333336</v>
      </c>
      <c r="E539" s="61" t="s">
        <v>446</v>
      </c>
      <c r="F539" s="61" t="s">
        <v>541</v>
      </c>
      <c r="G539" s="61" t="s">
        <v>538</v>
      </c>
      <c r="H539" s="61" t="s">
        <v>441</v>
      </c>
      <c r="I539" s="61" t="s">
        <v>442</v>
      </c>
      <c r="J539" s="61" t="s">
        <v>443</v>
      </c>
      <c r="K539" s="61" t="s">
        <v>443</v>
      </c>
      <c r="L539" s="64">
        <v>0</v>
      </c>
      <c r="M539" s="64">
        <v>0</v>
      </c>
      <c r="N539" s="64">
        <v>28.173999999999999</v>
      </c>
      <c r="O539" s="61" t="s">
        <v>444</v>
      </c>
      <c r="P539" s="64">
        <v>57.6</v>
      </c>
      <c r="Q539" s="65">
        <v>1328.1</v>
      </c>
      <c r="R539" s="65">
        <v>140.54</v>
      </c>
      <c r="S539" s="65">
        <v>0</v>
      </c>
      <c r="T539" s="65">
        <v>0</v>
      </c>
      <c r="U539" s="65">
        <v>1468.65</v>
      </c>
    </row>
    <row r="540" spans="1:21" s="61" customFormat="1" hidden="1" x14ac:dyDescent="0.25">
      <c r="A540" s="62">
        <v>205523</v>
      </c>
      <c r="B540" s="61" t="s">
        <v>445</v>
      </c>
      <c r="C540" s="63">
        <v>38743</v>
      </c>
      <c r="D540" s="63">
        <v>38743.333333333336</v>
      </c>
      <c r="E540" s="61" t="s">
        <v>446</v>
      </c>
      <c r="F540" s="61" t="s">
        <v>530</v>
      </c>
      <c r="G540" s="61" t="s">
        <v>538</v>
      </c>
      <c r="H540" s="61" t="s">
        <v>441</v>
      </c>
      <c r="I540" s="61" t="s">
        <v>442</v>
      </c>
      <c r="J540" s="61" t="s">
        <v>443</v>
      </c>
      <c r="K540" s="61" t="s">
        <v>443</v>
      </c>
      <c r="L540" s="64">
        <v>0</v>
      </c>
      <c r="M540" s="64">
        <v>0</v>
      </c>
      <c r="N540" s="64">
        <v>28.173999999999999</v>
      </c>
      <c r="O540" s="61" t="s">
        <v>444</v>
      </c>
      <c r="P540" s="64">
        <v>40.32</v>
      </c>
      <c r="Q540" s="65">
        <v>171.72</v>
      </c>
      <c r="R540" s="65">
        <v>99.76</v>
      </c>
      <c r="S540" s="65">
        <v>0</v>
      </c>
      <c r="T540" s="65">
        <v>0</v>
      </c>
      <c r="U540" s="65">
        <v>271.49</v>
      </c>
    </row>
    <row r="541" spans="1:21" s="61" customFormat="1" hidden="1" x14ac:dyDescent="0.25">
      <c r="A541" s="62">
        <v>204445</v>
      </c>
      <c r="B541" s="61" t="s">
        <v>445</v>
      </c>
      <c r="C541" s="63">
        <v>38741</v>
      </c>
      <c r="D541" s="63">
        <v>38741.333333333336</v>
      </c>
      <c r="E541" s="61" t="s">
        <v>446</v>
      </c>
      <c r="F541" s="61" t="s">
        <v>530</v>
      </c>
      <c r="G541" s="61" t="s">
        <v>538</v>
      </c>
      <c r="H541" s="61" t="s">
        <v>441</v>
      </c>
      <c r="I541" s="61" t="s">
        <v>442</v>
      </c>
      <c r="J541" s="61" t="s">
        <v>443</v>
      </c>
      <c r="K541" s="61" t="s">
        <v>443</v>
      </c>
      <c r="L541" s="64">
        <v>0</v>
      </c>
      <c r="M541" s="64">
        <v>0</v>
      </c>
      <c r="N541" s="64">
        <v>28.173999999999999</v>
      </c>
      <c r="O541" s="61" t="s">
        <v>444</v>
      </c>
      <c r="P541" s="64">
        <v>47.04</v>
      </c>
      <c r="Q541" s="65">
        <v>343.45</v>
      </c>
      <c r="R541" s="65">
        <v>99.76</v>
      </c>
      <c r="S541" s="65">
        <v>0</v>
      </c>
      <c r="T541" s="65">
        <v>0</v>
      </c>
      <c r="U541" s="65">
        <v>443.21</v>
      </c>
    </row>
    <row r="542" spans="1:21" s="61" customFormat="1" hidden="1" x14ac:dyDescent="0.25">
      <c r="A542" s="62">
        <v>202614</v>
      </c>
      <c r="B542" s="61" t="s">
        <v>445</v>
      </c>
      <c r="C542" s="63">
        <v>38735</v>
      </c>
      <c r="D542" s="63">
        <v>38735.333333333336</v>
      </c>
      <c r="E542" s="61" t="s">
        <v>446</v>
      </c>
      <c r="F542" s="61" t="s">
        <v>530</v>
      </c>
      <c r="G542" s="61" t="s">
        <v>538</v>
      </c>
      <c r="H542" s="61" t="s">
        <v>441</v>
      </c>
      <c r="I542" s="61" t="s">
        <v>442</v>
      </c>
      <c r="J542" s="61" t="s">
        <v>443</v>
      </c>
      <c r="K542" s="61" t="s">
        <v>443</v>
      </c>
      <c r="L542" s="64">
        <v>0</v>
      </c>
      <c r="M542" s="64">
        <v>0</v>
      </c>
      <c r="N542" s="64">
        <v>28.173999999999999</v>
      </c>
      <c r="O542" s="61" t="s">
        <v>444</v>
      </c>
      <c r="P542" s="64">
        <v>36.479999999999997</v>
      </c>
      <c r="Q542" s="65">
        <v>343.45</v>
      </c>
      <c r="R542" s="65">
        <v>99.76</v>
      </c>
      <c r="S542" s="65">
        <v>0</v>
      </c>
      <c r="T542" s="65">
        <v>0</v>
      </c>
      <c r="U542" s="65">
        <v>443.21</v>
      </c>
    </row>
    <row r="543" spans="1:21" s="61" customFormat="1" hidden="1" x14ac:dyDescent="0.25">
      <c r="A543" s="62">
        <v>202400</v>
      </c>
      <c r="B543" s="61" t="s">
        <v>437</v>
      </c>
      <c r="C543" s="63">
        <v>38736</v>
      </c>
      <c r="D543" s="63">
        <v>38736.333333333336</v>
      </c>
      <c r="E543" s="61" t="s">
        <v>450</v>
      </c>
      <c r="F543" s="61" t="s">
        <v>549</v>
      </c>
      <c r="G543" s="61" t="s">
        <v>538</v>
      </c>
      <c r="H543" s="61" t="s">
        <v>441</v>
      </c>
      <c r="I543" s="61" t="s">
        <v>442</v>
      </c>
      <c r="J543" s="61" t="s">
        <v>443</v>
      </c>
      <c r="K543" s="61" t="s">
        <v>443</v>
      </c>
      <c r="L543" s="64">
        <v>0</v>
      </c>
      <c r="M543" s="64">
        <v>0</v>
      </c>
      <c r="N543" s="64">
        <v>28.173999999999999</v>
      </c>
      <c r="O543" s="61" t="s">
        <v>444</v>
      </c>
      <c r="P543" s="64">
        <v>19.2</v>
      </c>
      <c r="Q543" s="65">
        <v>898.63</v>
      </c>
      <c r="R543" s="65">
        <v>142.08000000000001</v>
      </c>
      <c r="S543" s="65">
        <v>0</v>
      </c>
      <c r="T543" s="65">
        <v>0</v>
      </c>
      <c r="U543" s="65">
        <v>1040.71</v>
      </c>
    </row>
    <row r="544" spans="1:21" s="61" customFormat="1" hidden="1" x14ac:dyDescent="0.25">
      <c r="A544" s="62">
        <v>197482</v>
      </c>
      <c r="B544" s="61" t="s">
        <v>550</v>
      </c>
      <c r="C544" s="63">
        <v>38720</v>
      </c>
      <c r="D544" s="63">
        <v>38720.333333333336</v>
      </c>
      <c r="E544" s="61" t="s">
        <v>551</v>
      </c>
      <c r="F544" s="61" t="s">
        <v>552</v>
      </c>
      <c r="G544" s="61" t="s">
        <v>538</v>
      </c>
      <c r="H544" s="61" t="s">
        <v>553</v>
      </c>
      <c r="I544" s="61" t="s">
        <v>442</v>
      </c>
      <c r="J544" s="61" t="s">
        <v>443</v>
      </c>
      <c r="K544" s="61" t="s">
        <v>443</v>
      </c>
      <c r="L544" s="64">
        <v>0</v>
      </c>
      <c r="M544" s="64">
        <v>0</v>
      </c>
      <c r="N544" s="64">
        <v>28.173999999999999</v>
      </c>
      <c r="O544" s="61" t="s">
        <v>444</v>
      </c>
      <c r="P544" s="64">
        <v>129.6</v>
      </c>
      <c r="Q544" s="65">
        <v>1385.24</v>
      </c>
      <c r="R544" s="65">
        <v>478.16</v>
      </c>
      <c r="S544" s="65">
        <v>0</v>
      </c>
      <c r="T544" s="65">
        <v>0</v>
      </c>
      <c r="U544" s="65">
        <v>1863.4</v>
      </c>
    </row>
    <row r="545" spans="1:21" s="61" customFormat="1" hidden="1" x14ac:dyDescent="0.25">
      <c r="A545" s="62">
        <v>194014</v>
      </c>
      <c r="B545" s="61" t="s">
        <v>445</v>
      </c>
      <c r="C545" s="63">
        <v>38699</v>
      </c>
      <c r="D545" s="63">
        <v>38699.333333333336</v>
      </c>
      <c r="E545" s="61" t="s">
        <v>446</v>
      </c>
      <c r="F545" s="61" t="s">
        <v>530</v>
      </c>
      <c r="G545" s="61" t="s">
        <v>538</v>
      </c>
      <c r="H545" s="61" t="s">
        <v>441</v>
      </c>
      <c r="I545" s="61" t="s">
        <v>442</v>
      </c>
      <c r="J545" s="61" t="s">
        <v>443</v>
      </c>
      <c r="K545" s="61" t="s">
        <v>443</v>
      </c>
      <c r="L545" s="64">
        <v>0</v>
      </c>
      <c r="M545" s="64">
        <v>0</v>
      </c>
      <c r="N545" s="64">
        <v>28.173999999999999</v>
      </c>
      <c r="O545" s="61" t="s">
        <v>444</v>
      </c>
      <c r="P545" s="64">
        <v>36.479999999999997</v>
      </c>
      <c r="Q545" s="65">
        <v>343.45</v>
      </c>
      <c r="R545" s="65">
        <v>99.76</v>
      </c>
      <c r="S545" s="65">
        <v>0</v>
      </c>
      <c r="T545" s="65">
        <v>0</v>
      </c>
      <c r="U545" s="65">
        <v>443.21</v>
      </c>
    </row>
    <row r="546" spans="1:21" s="61" customFormat="1" hidden="1" x14ac:dyDescent="0.25">
      <c r="A546" s="62">
        <v>189592</v>
      </c>
      <c r="B546" s="61" t="s">
        <v>445</v>
      </c>
      <c r="C546" s="63">
        <v>38684</v>
      </c>
      <c r="D546" s="63">
        <v>38684.333333333336</v>
      </c>
      <c r="E546" s="61" t="s">
        <v>446</v>
      </c>
      <c r="F546" s="61" t="s">
        <v>534</v>
      </c>
      <c r="G546" s="61" t="s">
        <v>538</v>
      </c>
      <c r="H546" s="61" t="s">
        <v>441</v>
      </c>
      <c r="I546" s="61" t="s">
        <v>442</v>
      </c>
      <c r="J546" s="61" t="s">
        <v>443</v>
      </c>
      <c r="K546" s="61" t="s">
        <v>443</v>
      </c>
      <c r="L546" s="64">
        <v>0</v>
      </c>
      <c r="M546" s="64">
        <v>0</v>
      </c>
      <c r="N546" s="64">
        <v>28.173999999999999</v>
      </c>
      <c r="O546" s="61" t="s">
        <v>444</v>
      </c>
      <c r="P546" s="64">
        <v>36.479999999999997</v>
      </c>
      <c r="Q546" s="65">
        <v>343.45</v>
      </c>
      <c r="R546" s="65">
        <v>49.88</v>
      </c>
      <c r="S546" s="65">
        <v>0</v>
      </c>
      <c r="T546" s="65">
        <v>0</v>
      </c>
      <c r="U546" s="65">
        <v>393.33</v>
      </c>
    </row>
    <row r="547" spans="1:21" s="61" customFormat="1" hidden="1" x14ac:dyDescent="0.25">
      <c r="A547" s="62">
        <v>183370</v>
      </c>
      <c r="B547" s="61" t="s">
        <v>445</v>
      </c>
      <c r="C547" s="63">
        <v>38657</v>
      </c>
      <c r="D547" s="63">
        <v>38657.333333333336</v>
      </c>
      <c r="E547" s="61" t="s">
        <v>446</v>
      </c>
      <c r="F547" s="61" t="s">
        <v>530</v>
      </c>
      <c r="G547" s="61" t="s">
        <v>538</v>
      </c>
      <c r="H547" s="61" t="s">
        <v>441</v>
      </c>
      <c r="I547" s="61" t="s">
        <v>442</v>
      </c>
      <c r="J547" s="61" t="s">
        <v>443</v>
      </c>
      <c r="K547" s="61" t="s">
        <v>443</v>
      </c>
      <c r="L547" s="64">
        <v>0</v>
      </c>
      <c r="M547" s="64">
        <v>0</v>
      </c>
      <c r="N547" s="64">
        <v>28.173999999999999</v>
      </c>
      <c r="O547" s="61" t="s">
        <v>444</v>
      </c>
      <c r="P547" s="64">
        <v>0</v>
      </c>
      <c r="Q547" s="65">
        <v>171.72</v>
      </c>
      <c r="R547" s="65">
        <v>49.88</v>
      </c>
      <c r="S547" s="65">
        <v>0</v>
      </c>
      <c r="T547" s="65">
        <v>0</v>
      </c>
      <c r="U547" s="65">
        <v>221.61</v>
      </c>
    </row>
    <row r="548" spans="1:21" s="61" customFormat="1" hidden="1" x14ac:dyDescent="0.25">
      <c r="A548" s="62">
        <v>180274</v>
      </c>
      <c r="B548" s="61" t="s">
        <v>445</v>
      </c>
      <c r="C548" s="63">
        <v>38646</v>
      </c>
      <c r="D548" s="63">
        <v>38646.333333333336</v>
      </c>
      <c r="E548" s="61" t="s">
        <v>446</v>
      </c>
      <c r="F548" s="61" t="s">
        <v>530</v>
      </c>
      <c r="G548" s="61" t="s">
        <v>538</v>
      </c>
      <c r="H548" s="61" t="s">
        <v>441</v>
      </c>
      <c r="I548" s="61" t="s">
        <v>442</v>
      </c>
      <c r="J548" s="61" t="s">
        <v>443</v>
      </c>
      <c r="K548" s="61" t="s">
        <v>443</v>
      </c>
      <c r="L548" s="64">
        <v>0</v>
      </c>
      <c r="M548" s="64">
        <v>0</v>
      </c>
      <c r="N548" s="64">
        <v>28.173999999999999</v>
      </c>
      <c r="O548" s="61" t="s">
        <v>444</v>
      </c>
      <c r="P548" s="64">
        <v>0</v>
      </c>
      <c r="Q548" s="65">
        <v>0</v>
      </c>
      <c r="R548" s="65">
        <v>0</v>
      </c>
      <c r="S548" s="65">
        <v>0</v>
      </c>
      <c r="T548" s="65">
        <v>0</v>
      </c>
      <c r="U548" s="65">
        <v>0</v>
      </c>
    </row>
    <row r="549" spans="1:21" s="61" customFormat="1" hidden="1" x14ac:dyDescent="0.25">
      <c r="A549" s="62">
        <v>176210</v>
      </c>
      <c r="B549" s="61" t="s">
        <v>445</v>
      </c>
      <c r="C549" s="63">
        <v>38632</v>
      </c>
      <c r="D549" s="63">
        <v>38632.333333333336</v>
      </c>
      <c r="E549" s="61" t="s">
        <v>485</v>
      </c>
      <c r="F549" s="61" t="s">
        <v>534</v>
      </c>
      <c r="G549" s="61" t="s">
        <v>538</v>
      </c>
      <c r="H549" s="61" t="s">
        <v>457</v>
      </c>
      <c r="I549" s="61" t="s">
        <v>442</v>
      </c>
      <c r="J549" s="61" t="s">
        <v>443</v>
      </c>
      <c r="K549" s="61" t="s">
        <v>443</v>
      </c>
      <c r="L549" s="64">
        <v>0</v>
      </c>
      <c r="M549" s="64">
        <v>0</v>
      </c>
      <c r="N549" s="64">
        <v>28.173999999999999</v>
      </c>
      <c r="O549" s="61" t="s">
        <v>444</v>
      </c>
      <c r="P549" s="64">
        <v>0</v>
      </c>
      <c r="Q549" s="65">
        <v>309.04000000000002</v>
      </c>
      <c r="R549" s="65">
        <v>99.76</v>
      </c>
      <c r="S549" s="65">
        <v>0</v>
      </c>
      <c r="T549" s="65">
        <v>0</v>
      </c>
      <c r="U549" s="65">
        <v>408.81</v>
      </c>
    </row>
    <row r="550" spans="1:21" s="61" customFormat="1" hidden="1" x14ac:dyDescent="0.25">
      <c r="A550" s="62">
        <v>174436</v>
      </c>
      <c r="B550" s="61" t="s">
        <v>445</v>
      </c>
      <c r="C550" s="63">
        <v>38625</v>
      </c>
      <c r="D550" s="63">
        <v>38625.333333333336</v>
      </c>
      <c r="E550" s="61" t="s">
        <v>446</v>
      </c>
      <c r="F550" s="61" t="s">
        <v>530</v>
      </c>
      <c r="G550" s="61" t="s">
        <v>538</v>
      </c>
      <c r="H550" s="61" t="s">
        <v>441</v>
      </c>
      <c r="I550" s="61" t="s">
        <v>442</v>
      </c>
      <c r="J550" s="61" t="s">
        <v>443</v>
      </c>
      <c r="K550" s="61" t="s">
        <v>443</v>
      </c>
      <c r="L550" s="64">
        <v>0</v>
      </c>
      <c r="M550" s="64">
        <v>0</v>
      </c>
      <c r="N550" s="64">
        <v>28.173999999999999</v>
      </c>
      <c r="O550" s="61" t="s">
        <v>444</v>
      </c>
      <c r="P550" s="64">
        <v>0</v>
      </c>
      <c r="Q550" s="65">
        <v>309.04000000000002</v>
      </c>
      <c r="R550" s="65">
        <v>99.76</v>
      </c>
      <c r="S550" s="65">
        <v>0</v>
      </c>
      <c r="T550" s="65">
        <v>0</v>
      </c>
      <c r="U550" s="65">
        <v>408.81</v>
      </c>
    </row>
    <row r="551" spans="1:21" s="61" customFormat="1" hidden="1" x14ac:dyDescent="0.25">
      <c r="A551" s="62">
        <v>174085</v>
      </c>
      <c r="B551" s="61" t="s">
        <v>445</v>
      </c>
      <c r="C551" s="63">
        <v>38623</v>
      </c>
      <c r="D551" s="63">
        <v>38623.333333333336</v>
      </c>
      <c r="E551" s="61" t="s">
        <v>446</v>
      </c>
      <c r="F551" s="61" t="s">
        <v>534</v>
      </c>
      <c r="G551" s="61" t="s">
        <v>538</v>
      </c>
      <c r="H551" s="61" t="s">
        <v>441</v>
      </c>
      <c r="I551" s="61" t="s">
        <v>442</v>
      </c>
      <c r="J551" s="61" t="s">
        <v>443</v>
      </c>
      <c r="K551" s="61" t="s">
        <v>443</v>
      </c>
      <c r="L551" s="64">
        <v>0</v>
      </c>
      <c r="M551" s="64">
        <v>0</v>
      </c>
      <c r="N551" s="64">
        <v>28.173999999999999</v>
      </c>
      <c r="O551" s="61" t="s">
        <v>444</v>
      </c>
      <c r="P551" s="64">
        <v>0</v>
      </c>
      <c r="Q551" s="65">
        <v>309.04000000000002</v>
      </c>
      <c r="R551" s="65">
        <v>99.76</v>
      </c>
      <c r="S551" s="65">
        <v>0</v>
      </c>
      <c r="T551" s="65">
        <v>0</v>
      </c>
      <c r="U551" s="65">
        <v>408.81</v>
      </c>
    </row>
    <row r="552" spans="1:21" s="61" customFormat="1" hidden="1" x14ac:dyDescent="0.25">
      <c r="A552" s="62">
        <v>173059</v>
      </c>
      <c r="B552" s="61" t="s">
        <v>437</v>
      </c>
      <c r="C552" s="63">
        <v>38623</v>
      </c>
      <c r="D552" s="63">
        <v>38623.333333333336</v>
      </c>
      <c r="E552" s="61" t="s">
        <v>450</v>
      </c>
      <c r="F552" s="61" t="s">
        <v>529</v>
      </c>
      <c r="G552" s="61" t="s">
        <v>542</v>
      </c>
      <c r="H552" s="61" t="s">
        <v>441</v>
      </c>
      <c r="I552" s="61" t="s">
        <v>442</v>
      </c>
      <c r="J552" s="61" t="s">
        <v>443</v>
      </c>
      <c r="K552" s="61" t="s">
        <v>443</v>
      </c>
      <c r="L552" s="64">
        <v>0</v>
      </c>
      <c r="M552" s="64">
        <v>31.09</v>
      </c>
      <c r="N552" s="64">
        <v>38.479999999999997</v>
      </c>
      <c r="O552" s="61" t="s">
        <v>444</v>
      </c>
      <c r="P552" s="64">
        <v>50</v>
      </c>
      <c r="Q552" s="65">
        <v>857.66</v>
      </c>
      <c r="R552" s="65">
        <v>700</v>
      </c>
      <c r="S552" s="65">
        <v>0</v>
      </c>
      <c r="T552" s="65">
        <v>0</v>
      </c>
      <c r="U552" s="65">
        <v>1557.66</v>
      </c>
    </row>
    <row r="553" spans="1:21" s="61" customFormat="1" hidden="1" x14ac:dyDescent="0.25">
      <c r="A553" s="62">
        <v>172735</v>
      </c>
      <c r="B553" s="61" t="s">
        <v>445</v>
      </c>
      <c r="C553" s="63">
        <v>38621</v>
      </c>
      <c r="D553" s="63">
        <v>38621.333333333336</v>
      </c>
      <c r="E553" s="61" t="s">
        <v>446</v>
      </c>
      <c r="F553" s="61" t="s">
        <v>516</v>
      </c>
      <c r="G553" s="61" t="s">
        <v>538</v>
      </c>
      <c r="H553" s="61" t="s">
        <v>441</v>
      </c>
      <c r="I553" s="61" t="s">
        <v>442</v>
      </c>
      <c r="J553" s="61" t="s">
        <v>443</v>
      </c>
      <c r="K553" s="61" t="s">
        <v>443</v>
      </c>
      <c r="L553" s="64">
        <v>0</v>
      </c>
      <c r="M553" s="64">
        <v>0</v>
      </c>
      <c r="N553" s="64">
        <v>28.173999999999999</v>
      </c>
      <c r="O553" s="61" t="s">
        <v>444</v>
      </c>
      <c r="P553" s="64">
        <v>0</v>
      </c>
      <c r="Q553" s="65">
        <v>154.52000000000001</v>
      </c>
      <c r="R553" s="65">
        <v>45.7</v>
      </c>
      <c r="S553" s="65">
        <v>0</v>
      </c>
      <c r="T553" s="65">
        <v>0</v>
      </c>
      <c r="U553" s="65">
        <v>200.22</v>
      </c>
    </row>
    <row r="554" spans="1:21" s="61" customFormat="1" hidden="1" x14ac:dyDescent="0.25">
      <c r="A554" s="62">
        <v>172201</v>
      </c>
      <c r="B554" s="61" t="s">
        <v>445</v>
      </c>
      <c r="C554" s="63">
        <v>38617</v>
      </c>
      <c r="D554" s="63">
        <v>38617.333333333336</v>
      </c>
      <c r="E554" s="61" t="s">
        <v>446</v>
      </c>
      <c r="F554" s="61" t="s">
        <v>530</v>
      </c>
      <c r="G554" s="61" t="s">
        <v>538</v>
      </c>
      <c r="H554" s="61" t="s">
        <v>441</v>
      </c>
      <c r="I554" s="61" t="s">
        <v>442</v>
      </c>
      <c r="J554" s="61" t="s">
        <v>443</v>
      </c>
      <c r="K554" s="61" t="s">
        <v>443</v>
      </c>
      <c r="L554" s="64">
        <v>0</v>
      </c>
      <c r="M554" s="64">
        <v>0</v>
      </c>
      <c r="N554" s="64">
        <v>28.173999999999999</v>
      </c>
      <c r="O554" s="61" t="s">
        <v>444</v>
      </c>
      <c r="P554" s="64">
        <v>0</v>
      </c>
      <c r="Q554" s="65">
        <v>154.52000000000001</v>
      </c>
      <c r="R554" s="65">
        <v>49.88</v>
      </c>
      <c r="S554" s="65">
        <v>0</v>
      </c>
      <c r="T554" s="65">
        <v>0</v>
      </c>
      <c r="U554" s="65">
        <v>204.4</v>
      </c>
    </row>
    <row r="555" spans="1:21" s="61" customFormat="1" hidden="1" x14ac:dyDescent="0.25">
      <c r="A555" s="62">
        <v>170369</v>
      </c>
      <c r="B555" s="61" t="s">
        <v>437</v>
      </c>
      <c r="C555" s="63">
        <v>38614</v>
      </c>
      <c r="D555" s="63">
        <v>38617</v>
      </c>
      <c r="E555" s="61" t="s">
        <v>450</v>
      </c>
      <c r="F555" s="61" t="s">
        <v>554</v>
      </c>
      <c r="G555" s="61" t="s">
        <v>542</v>
      </c>
      <c r="H555" s="61" t="s">
        <v>441</v>
      </c>
      <c r="I555" s="61" t="s">
        <v>442</v>
      </c>
      <c r="J555" s="61" t="s">
        <v>443</v>
      </c>
      <c r="K555" s="61" t="s">
        <v>443</v>
      </c>
      <c r="L555" s="64">
        <v>0</v>
      </c>
      <c r="M555" s="64">
        <v>31.09</v>
      </c>
      <c r="N555" s="64">
        <v>38.479999999999997</v>
      </c>
      <c r="O555" s="61" t="s">
        <v>444</v>
      </c>
      <c r="P555" s="64">
        <v>32</v>
      </c>
      <c r="Q555" s="65">
        <v>7411.79</v>
      </c>
      <c r="R555" s="65">
        <v>624</v>
      </c>
      <c r="S555" s="65">
        <v>0</v>
      </c>
      <c r="T555" s="65">
        <v>0</v>
      </c>
      <c r="U555" s="65">
        <v>8035.79</v>
      </c>
    </row>
    <row r="556" spans="1:21" s="61" customFormat="1" hidden="1" x14ac:dyDescent="0.25">
      <c r="A556" s="62">
        <v>169314</v>
      </c>
      <c r="B556" s="61" t="s">
        <v>445</v>
      </c>
      <c r="C556" s="63">
        <v>38607</v>
      </c>
      <c r="D556" s="63">
        <v>38607.333333333336</v>
      </c>
      <c r="E556" s="61" t="s">
        <v>446</v>
      </c>
      <c r="F556" s="61" t="s">
        <v>530</v>
      </c>
      <c r="G556" s="61" t="s">
        <v>538</v>
      </c>
      <c r="H556" s="61" t="s">
        <v>441</v>
      </c>
      <c r="I556" s="61" t="s">
        <v>442</v>
      </c>
      <c r="J556" s="61" t="s">
        <v>443</v>
      </c>
      <c r="K556" s="61" t="s">
        <v>443</v>
      </c>
      <c r="L556" s="64">
        <v>0</v>
      </c>
      <c r="M556" s="64">
        <v>0</v>
      </c>
      <c r="N556" s="64">
        <v>28.173999999999999</v>
      </c>
      <c r="O556" s="61" t="s">
        <v>444</v>
      </c>
      <c r="P556" s="64">
        <v>0</v>
      </c>
      <c r="Q556" s="65">
        <v>309.04000000000002</v>
      </c>
      <c r="R556" s="65">
        <v>99.76</v>
      </c>
      <c r="S556" s="65">
        <v>0</v>
      </c>
      <c r="T556" s="65">
        <v>0</v>
      </c>
      <c r="U556" s="65">
        <v>408.81</v>
      </c>
    </row>
    <row r="557" spans="1:21" s="61" customFormat="1" hidden="1" x14ac:dyDescent="0.25">
      <c r="A557" s="62">
        <v>167751</v>
      </c>
      <c r="B557" s="61" t="s">
        <v>445</v>
      </c>
      <c r="C557" s="63">
        <v>38597</v>
      </c>
      <c r="D557" s="63">
        <v>38597.333333333336</v>
      </c>
      <c r="E557" s="61" t="s">
        <v>446</v>
      </c>
      <c r="F557" s="61" t="s">
        <v>530</v>
      </c>
      <c r="G557" s="61" t="s">
        <v>538</v>
      </c>
      <c r="H557" s="61" t="s">
        <v>441</v>
      </c>
      <c r="I557" s="61" t="s">
        <v>442</v>
      </c>
      <c r="J557" s="61" t="s">
        <v>443</v>
      </c>
      <c r="K557" s="61" t="s">
        <v>443</v>
      </c>
      <c r="L557" s="64">
        <v>0</v>
      </c>
      <c r="M557" s="64">
        <v>0</v>
      </c>
      <c r="N557" s="64">
        <v>28.173999999999999</v>
      </c>
      <c r="O557" s="61" t="s">
        <v>444</v>
      </c>
      <c r="P557" s="64">
        <v>0</v>
      </c>
      <c r="Q557" s="65">
        <v>0</v>
      </c>
      <c r="R557" s="65">
        <v>0</v>
      </c>
      <c r="S557" s="65">
        <v>0</v>
      </c>
      <c r="T557" s="65">
        <v>0</v>
      </c>
      <c r="U557" s="65">
        <v>0</v>
      </c>
    </row>
    <row r="558" spans="1:21" s="61" customFormat="1" hidden="1" x14ac:dyDescent="0.25">
      <c r="A558" s="62">
        <v>166591</v>
      </c>
      <c r="B558" s="61" t="s">
        <v>437</v>
      </c>
      <c r="C558" s="63">
        <v>38595</v>
      </c>
      <c r="D558" s="63">
        <v>38595.333333333336</v>
      </c>
      <c r="E558" s="61" t="s">
        <v>450</v>
      </c>
      <c r="F558" s="61" t="s">
        <v>527</v>
      </c>
      <c r="G558" s="61" t="s">
        <v>538</v>
      </c>
      <c r="H558" s="61" t="s">
        <v>441</v>
      </c>
      <c r="I558" s="61" t="s">
        <v>442</v>
      </c>
      <c r="J558" s="61" t="s">
        <v>443</v>
      </c>
      <c r="K558" s="61" t="s">
        <v>443</v>
      </c>
      <c r="L558" s="64">
        <v>0</v>
      </c>
      <c r="M558" s="64">
        <v>0</v>
      </c>
      <c r="N558" s="64">
        <v>28.173999999999999</v>
      </c>
      <c r="O558" s="61" t="s">
        <v>444</v>
      </c>
      <c r="P558" s="64">
        <v>31.2</v>
      </c>
      <c r="Q558" s="65">
        <v>697.2</v>
      </c>
      <c r="R558" s="65">
        <v>0</v>
      </c>
      <c r="S558" s="65">
        <v>0</v>
      </c>
      <c r="T558" s="65">
        <v>0</v>
      </c>
      <c r="U558" s="65">
        <v>697.2</v>
      </c>
    </row>
    <row r="559" spans="1:21" s="61" customFormat="1" hidden="1" x14ac:dyDescent="0.25">
      <c r="A559" s="62">
        <v>166589</v>
      </c>
      <c r="B559" s="61" t="s">
        <v>437</v>
      </c>
      <c r="C559" s="63">
        <v>38595</v>
      </c>
      <c r="D559" s="63">
        <v>38595.333333333336</v>
      </c>
      <c r="E559" s="61" t="s">
        <v>450</v>
      </c>
      <c r="F559" s="61" t="s">
        <v>527</v>
      </c>
      <c r="G559" s="61" t="s">
        <v>542</v>
      </c>
      <c r="H559" s="61" t="s">
        <v>441</v>
      </c>
      <c r="I559" s="61" t="s">
        <v>442</v>
      </c>
      <c r="J559" s="61" t="s">
        <v>443</v>
      </c>
      <c r="K559" s="61" t="s">
        <v>443</v>
      </c>
      <c r="L559" s="64">
        <v>0</v>
      </c>
      <c r="M559" s="64">
        <v>31.09</v>
      </c>
      <c r="N559" s="64">
        <v>38.479999999999997</v>
      </c>
      <c r="O559" s="61" t="s">
        <v>444</v>
      </c>
      <c r="P559" s="64">
        <v>73</v>
      </c>
      <c r="Q559" s="65">
        <v>1534.64</v>
      </c>
      <c r="R559" s="65">
        <v>368</v>
      </c>
      <c r="S559" s="65">
        <v>0</v>
      </c>
      <c r="T559" s="65">
        <v>0</v>
      </c>
      <c r="U559" s="65">
        <v>1902.64</v>
      </c>
    </row>
    <row r="560" spans="1:21" s="61" customFormat="1" hidden="1" x14ac:dyDescent="0.25">
      <c r="A560" s="62">
        <v>165612</v>
      </c>
      <c r="B560" s="61" t="s">
        <v>437</v>
      </c>
      <c r="C560" s="63">
        <v>38593</v>
      </c>
      <c r="D560" s="63">
        <v>38602</v>
      </c>
      <c r="E560" s="61" t="s">
        <v>450</v>
      </c>
      <c r="F560" s="61" t="s">
        <v>533</v>
      </c>
      <c r="G560" s="61" t="s">
        <v>548</v>
      </c>
      <c r="H560" s="61" t="s">
        <v>441</v>
      </c>
      <c r="I560" s="61" t="s">
        <v>454</v>
      </c>
      <c r="J560" s="61" t="s">
        <v>443</v>
      </c>
      <c r="K560" s="61" t="s">
        <v>443</v>
      </c>
      <c r="L560" s="64">
        <v>0</v>
      </c>
      <c r="M560" s="64">
        <v>2.5</v>
      </c>
      <c r="N560" s="64">
        <v>3.4409999999999998</v>
      </c>
      <c r="O560" s="61" t="s">
        <v>444</v>
      </c>
      <c r="P560" s="64">
        <v>30</v>
      </c>
      <c r="Q560" s="65">
        <v>1769.26</v>
      </c>
      <c r="R560" s="65">
        <v>506.4</v>
      </c>
      <c r="S560" s="65">
        <v>59.85</v>
      </c>
      <c r="T560" s="65">
        <v>0</v>
      </c>
      <c r="U560" s="65">
        <v>2335.5100000000002</v>
      </c>
    </row>
    <row r="561" spans="1:21" s="61" customFormat="1" hidden="1" x14ac:dyDescent="0.25">
      <c r="A561" s="62">
        <v>165080</v>
      </c>
      <c r="B561" s="61" t="s">
        <v>445</v>
      </c>
      <c r="C561" s="63">
        <v>38589</v>
      </c>
      <c r="D561" s="63">
        <v>38589.333333333336</v>
      </c>
      <c r="E561" s="61" t="s">
        <v>446</v>
      </c>
      <c r="F561" s="61" t="s">
        <v>530</v>
      </c>
      <c r="G561" s="61" t="s">
        <v>538</v>
      </c>
      <c r="H561" s="61" t="s">
        <v>441</v>
      </c>
      <c r="I561" s="61" t="s">
        <v>442</v>
      </c>
      <c r="J561" s="61" t="s">
        <v>443</v>
      </c>
      <c r="K561" s="61" t="s">
        <v>443</v>
      </c>
      <c r="L561" s="64">
        <v>0</v>
      </c>
      <c r="M561" s="64">
        <v>0</v>
      </c>
      <c r="N561" s="64">
        <v>28.173999999999999</v>
      </c>
      <c r="O561" s="61" t="s">
        <v>444</v>
      </c>
      <c r="P561" s="64">
        <v>0</v>
      </c>
      <c r="Q561" s="65">
        <v>309.04000000000002</v>
      </c>
      <c r="R561" s="65">
        <v>99.76</v>
      </c>
      <c r="S561" s="65">
        <v>0</v>
      </c>
      <c r="T561" s="65">
        <v>0</v>
      </c>
      <c r="U561" s="65">
        <v>408.81</v>
      </c>
    </row>
    <row r="562" spans="1:21" s="61" customFormat="1" hidden="1" x14ac:dyDescent="0.25">
      <c r="A562" s="62">
        <v>159162</v>
      </c>
      <c r="B562" s="61" t="s">
        <v>445</v>
      </c>
      <c r="C562" s="63">
        <v>38572</v>
      </c>
      <c r="D562" s="63">
        <v>38572.333333333336</v>
      </c>
      <c r="E562" s="61" t="s">
        <v>446</v>
      </c>
      <c r="F562" s="61" t="s">
        <v>530</v>
      </c>
      <c r="G562" s="61" t="s">
        <v>538</v>
      </c>
      <c r="H562" s="61" t="s">
        <v>441</v>
      </c>
      <c r="I562" s="61" t="s">
        <v>442</v>
      </c>
      <c r="J562" s="61" t="s">
        <v>443</v>
      </c>
      <c r="K562" s="61" t="s">
        <v>443</v>
      </c>
      <c r="L562" s="64">
        <v>0</v>
      </c>
      <c r="M562" s="64">
        <v>0</v>
      </c>
      <c r="N562" s="64">
        <v>28.173999999999999</v>
      </c>
      <c r="O562" s="61" t="s">
        <v>444</v>
      </c>
      <c r="P562" s="64">
        <v>0</v>
      </c>
      <c r="Q562" s="65">
        <v>309.04000000000002</v>
      </c>
      <c r="R562" s="65">
        <v>99.76</v>
      </c>
      <c r="S562" s="65">
        <v>0</v>
      </c>
      <c r="T562" s="65">
        <v>0</v>
      </c>
      <c r="U562" s="65">
        <v>408.81</v>
      </c>
    </row>
    <row r="563" spans="1:21" s="61" customFormat="1" hidden="1" x14ac:dyDescent="0.25">
      <c r="A563" s="62">
        <v>153137</v>
      </c>
      <c r="B563" s="61" t="s">
        <v>445</v>
      </c>
      <c r="C563" s="63">
        <v>38554</v>
      </c>
      <c r="D563" s="63">
        <v>38554.333333333336</v>
      </c>
      <c r="E563" s="61" t="s">
        <v>446</v>
      </c>
      <c r="F563" s="61" t="s">
        <v>530</v>
      </c>
      <c r="G563" s="61" t="s">
        <v>538</v>
      </c>
      <c r="H563" s="61" t="s">
        <v>441</v>
      </c>
      <c r="I563" s="61" t="s">
        <v>442</v>
      </c>
      <c r="J563" s="61" t="s">
        <v>443</v>
      </c>
      <c r="K563" s="61" t="s">
        <v>443</v>
      </c>
      <c r="L563" s="64">
        <v>0</v>
      </c>
      <c r="M563" s="64">
        <v>0</v>
      </c>
      <c r="N563" s="64">
        <v>28.173999999999999</v>
      </c>
      <c r="O563" s="61" t="s">
        <v>444</v>
      </c>
      <c r="P563" s="64">
        <v>0</v>
      </c>
      <c r="Q563" s="65">
        <v>0</v>
      </c>
      <c r="R563" s="65">
        <v>0</v>
      </c>
      <c r="S563" s="65">
        <v>0</v>
      </c>
      <c r="T563" s="65">
        <v>0</v>
      </c>
      <c r="U563" s="65">
        <v>0</v>
      </c>
    </row>
    <row r="564" spans="1:21" s="61" customFormat="1" hidden="1" x14ac:dyDescent="0.25">
      <c r="A564" s="62">
        <v>137862</v>
      </c>
      <c r="B564" s="61" t="s">
        <v>445</v>
      </c>
      <c r="C564" s="63">
        <v>38503</v>
      </c>
      <c r="D564" s="63">
        <v>38503.333333333336</v>
      </c>
      <c r="E564" s="61" t="s">
        <v>555</v>
      </c>
      <c r="F564" s="61" t="s">
        <v>530</v>
      </c>
      <c r="G564" s="61" t="s">
        <v>538</v>
      </c>
      <c r="H564" s="61" t="s">
        <v>457</v>
      </c>
      <c r="I564" s="61" t="s">
        <v>442</v>
      </c>
      <c r="J564" s="61" t="s">
        <v>443</v>
      </c>
      <c r="K564" s="61" t="s">
        <v>443</v>
      </c>
      <c r="L564" s="64">
        <v>0</v>
      </c>
      <c r="M564" s="64">
        <v>0</v>
      </c>
      <c r="N564" s="64">
        <v>28.173999999999999</v>
      </c>
      <c r="O564" s="61" t="s">
        <v>444</v>
      </c>
      <c r="P564" s="64">
        <v>0</v>
      </c>
      <c r="Q564" s="65">
        <v>306.12</v>
      </c>
      <c r="R564" s="65">
        <v>99.76</v>
      </c>
      <c r="S564" s="65">
        <v>0</v>
      </c>
      <c r="T564" s="65">
        <v>0</v>
      </c>
      <c r="U564" s="65">
        <v>405.89</v>
      </c>
    </row>
    <row r="565" spans="1:21" s="61" customFormat="1" hidden="1" x14ac:dyDescent="0.25">
      <c r="A565" s="62">
        <v>135921</v>
      </c>
      <c r="B565" s="61" t="s">
        <v>445</v>
      </c>
      <c r="C565" s="63">
        <v>38495</v>
      </c>
      <c r="D565" s="63">
        <v>38495.333333333336</v>
      </c>
      <c r="E565" s="61" t="s">
        <v>556</v>
      </c>
      <c r="F565" s="61" t="s">
        <v>530</v>
      </c>
      <c r="G565" s="61" t="s">
        <v>538</v>
      </c>
      <c r="H565" s="61" t="s">
        <v>441</v>
      </c>
      <c r="I565" s="61" t="s">
        <v>442</v>
      </c>
      <c r="J565" s="61" t="s">
        <v>443</v>
      </c>
      <c r="K565" s="61" t="s">
        <v>443</v>
      </c>
      <c r="L565" s="64">
        <v>0</v>
      </c>
      <c r="M565" s="64">
        <v>0</v>
      </c>
      <c r="N565" s="64">
        <v>28.173999999999999</v>
      </c>
      <c r="O565" s="61" t="s">
        <v>444</v>
      </c>
      <c r="P565" s="64">
        <v>0</v>
      </c>
      <c r="Q565" s="65">
        <v>306.12</v>
      </c>
      <c r="R565" s="65">
        <v>99.76</v>
      </c>
      <c r="S565" s="65">
        <v>0</v>
      </c>
      <c r="T565" s="65">
        <v>0</v>
      </c>
      <c r="U565" s="65">
        <v>405.89</v>
      </c>
    </row>
    <row r="566" spans="1:21" s="61" customFormat="1" hidden="1" x14ac:dyDescent="0.25">
      <c r="A566" s="62">
        <v>132369</v>
      </c>
      <c r="B566" s="61" t="s">
        <v>437</v>
      </c>
      <c r="C566" s="63">
        <v>38484</v>
      </c>
      <c r="D566" s="63">
        <v>38580</v>
      </c>
      <c r="E566" s="61" t="s">
        <v>557</v>
      </c>
      <c r="F566" s="61" t="s">
        <v>558</v>
      </c>
      <c r="G566" s="61" t="s">
        <v>542</v>
      </c>
      <c r="H566" s="61" t="s">
        <v>441</v>
      </c>
      <c r="I566" s="61" t="s">
        <v>442</v>
      </c>
      <c r="J566" s="61" t="s">
        <v>443</v>
      </c>
      <c r="K566" s="61" t="s">
        <v>443</v>
      </c>
      <c r="L566" s="64">
        <v>0</v>
      </c>
      <c r="M566" s="64">
        <v>31.09</v>
      </c>
      <c r="N566" s="64">
        <v>38.479999999999997</v>
      </c>
      <c r="O566" s="61" t="s">
        <v>444</v>
      </c>
      <c r="P566" s="64">
        <v>326.74</v>
      </c>
      <c r="Q566" s="65">
        <v>99350.66</v>
      </c>
      <c r="R566" s="65">
        <v>59369.67</v>
      </c>
      <c r="S566" s="65">
        <v>29938.94</v>
      </c>
      <c r="T566" s="65">
        <v>8.73</v>
      </c>
      <c r="U566" s="65">
        <v>188668</v>
      </c>
    </row>
    <row r="567" spans="1:21" s="61" customFormat="1" hidden="1" x14ac:dyDescent="0.25">
      <c r="A567" s="62">
        <v>131984</v>
      </c>
      <c r="B567" s="61" t="s">
        <v>437</v>
      </c>
      <c r="C567" s="63">
        <v>38482</v>
      </c>
      <c r="D567" s="63">
        <v>38482.333333333336</v>
      </c>
      <c r="E567" s="61" t="s">
        <v>557</v>
      </c>
      <c r="F567" s="61" t="s">
        <v>559</v>
      </c>
      <c r="G567" s="61" t="s">
        <v>543</v>
      </c>
      <c r="H567" s="61" t="s">
        <v>441</v>
      </c>
      <c r="I567" s="61" t="s">
        <v>442</v>
      </c>
      <c r="J567" s="61" t="s">
        <v>443</v>
      </c>
      <c r="K567" s="61" t="s">
        <v>443</v>
      </c>
      <c r="L567" s="64">
        <v>0</v>
      </c>
      <c r="M567" s="64">
        <v>30.95</v>
      </c>
      <c r="N567" s="64">
        <v>31.09</v>
      </c>
      <c r="O567" s="61" t="s">
        <v>444</v>
      </c>
      <c r="P567" s="64">
        <v>1</v>
      </c>
      <c r="Q567" s="65">
        <v>670.24</v>
      </c>
      <c r="R567" s="65">
        <v>336</v>
      </c>
      <c r="S567" s="65">
        <v>0</v>
      </c>
      <c r="T567" s="65">
        <v>0</v>
      </c>
      <c r="U567" s="65">
        <v>1006.24</v>
      </c>
    </row>
    <row r="568" spans="1:21" s="61" customFormat="1" hidden="1" x14ac:dyDescent="0.25">
      <c r="A568" s="62">
        <v>129005</v>
      </c>
      <c r="B568" s="61" t="s">
        <v>445</v>
      </c>
      <c r="C568" s="63">
        <v>38470</v>
      </c>
      <c r="D568" s="63">
        <v>38470.333333333336</v>
      </c>
      <c r="E568" s="61" t="s">
        <v>556</v>
      </c>
      <c r="F568" s="61" t="s">
        <v>514</v>
      </c>
      <c r="G568" s="61" t="s">
        <v>538</v>
      </c>
      <c r="H568" s="61" t="s">
        <v>441</v>
      </c>
      <c r="I568" s="61" t="s">
        <v>442</v>
      </c>
      <c r="J568" s="61" t="s">
        <v>443</v>
      </c>
      <c r="K568" s="61" t="s">
        <v>443</v>
      </c>
      <c r="L568" s="64">
        <v>0</v>
      </c>
      <c r="M568" s="64">
        <v>0</v>
      </c>
      <c r="N568" s="64">
        <v>28.173999999999999</v>
      </c>
      <c r="O568" s="61" t="s">
        <v>444</v>
      </c>
      <c r="P568" s="64">
        <v>0</v>
      </c>
      <c r="Q568" s="65">
        <v>264.35000000000002</v>
      </c>
      <c r="R568" s="65">
        <v>99.76</v>
      </c>
      <c r="S568" s="65">
        <v>0</v>
      </c>
      <c r="T568" s="65">
        <v>0</v>
      </c>
      <c r="U568" s="65">
        <v>364.11</v>
      </c>
    </row>
    <row r="569" spans="1:21" s="61" customFormat="1" hidden="1" x14ac:dyDescent="0.25">
      <c r="A569" s="62">
        <v>128891</v>
      </c>
      <c r="B569" s="61" t="s">
        <v>437</v>
      </c>
      <c r="C569" s="63">
        <v>38470</v>
      </c>
      <c r="D569" s="63">
        <v>38483.333333333336</v>
      </c>
      <c r="E569" s="61" t="s">
        <v>557</v>
      </c>
      <c r="F569" s="61" t="s">
        <v>559</v>
      </c>
      <c r="G569" s="61" t="s">
        <v>542</v>
      </c>
      <c r="H569" s="61" t="s">
        <v>441</v>
      </c>
      <c r="I569" s="61" t="s">
        <v>442</v>
      </c>
      <c r="J569" s="61" t="s">
        <v>443</v>
      </c>
      <c r="K569" s="61" t="s">
        <v>443</v>
      </c>
      <c r="L569" s="64">
        <v>0</v>
      </c>
      <c r="M569" s="64">
        <v>31.09</v>
      </c>
      <c r="N569" s="64">
        <v>38.479999999999997</v>
      </c>
      <c r="O569" s="61" t="s">
        <v>444</v>
      </c>
      <c r="P569" s="64">
        <v>7</v>
      </c>
      <c r="Q569" s="65">
        <v>16144.49</v>
      </c>
      <c r="R569" s="65">
        <v>2072.8000000000002</v>
      </c>
      <c r="S569" s="65">
        <v>70.44</v>
      </c>
      <c r="T569" s="65">
        <v>0</v>
      </c>
      <c r="U569" s="65">
        <v>18287.73</v>
      </c>
    </row>
    <row r="570" spans="1:21" s="61" customFormat="1" hidden="1" x14ac:dyDescent="0.25">
      <c r="A570" s="62">
        <v>126313</v>
      </c>
      <c r="B570" s="61" t="s">
        <v>437</v>
      </c>
      <c r="C570" s="63">
        <v>38463</v>
      </c>
      <c r="D570" s="63">
        <v>38463.333333333336</v>
      </c>
      <c r="E570" s="61" t="s">
        <v>450</v>
      </c>
      <c r="F570" s="61" t="s">
        <v>517</v>
      </c>
      <c r="G570" s="61" t="s">
        <v>538</v>
      </c>
      <c r="H570" s="61" t="s">
        <v>441</v>
      </c>
      <c r="I570" s="61" t="s">
        <v>442</v>
      </c>
      <c r="J570" s="61" t="s">
        <v>443</v>
      </c>
      <c r="K570" s="61" t="s">
        <v>443</v>
      </c>
      <c r="L570" s="64">
        <v>0</v>
      </c>
      <c r="M570" s="64">
        <v>0</v>
      </c>
      <c r="N570" s="64">
        <v>28.173999999999999</v>
      </c>
      <c r="O570" s="61" t="s">
        <v>444</v>
      </c>
      <c r="P570" s="64">
        <v>35.520000000000003</v>
      </c>
      <c r="Q570" s="65">
        <v>653.53</v>
      </c>
      <c r="R570" s="65">
        <v>59.9</v>
      </c>
      <c r="S570" s="65">
        <v>0</v>
      </c>
      <c r="T570" s="65">
        <v>0</v>
      </c>
      <c r="U570" s="65">
        <v>713.43</v>
      </c>
    </row>
    <row r="571" spans="1:21" s="61" customFormat="1" hidden="1" x14ac:dyDescent="0.25">
      <c r="A571" s="62">
        <v>125462</v>
      </c>
      <c r="B571" s="61" t="s">
        <v>437</v>
      </c>
      <c r="C571" s="63">
        <v>38460</v>
      </c>
      <c r="D571" s="63">
        <v>38460.333333333336</v>
      </c>
      <c r="E571" s="61" t="s">
        <v>450</v>
      </c>
      <c r="F571" s="61" t="s">
        <v>517</v>
      </c>
      <c r="G571" s="61" t="s">
        <v>538</v>
      </c>
      <c r="H571" s="61" t="s">
        <v>441</v>
      </c>
      <c r="I571" s="61" t="s">
        <v>442</v>
      </c>
      <c r="J571" s="61" t="s">
        <v>443</v>
      </c>
      <c r="K571" s="61" t="s">
        <v>443</v>
      </c>
      <c r="L571" s="64">
        <v>0</v>
      </c>
      <c r="M571" s="64">
        <v>0</v>
      </c>
      <c r="N571" s="64">
        <v>28.173999999999999</v>
      </c>
      <c r="O571" s="61" t="s">
        <v>444</v>
      </c>
      <c r="P571" s="64">
        <v>48</v>
      </c>
      <c r="Q571" s="65">
        <v>653.53</v>
      </c>
      <c r="R571" s="65">
        <v>59.9</v>
      </c>
      <c r="S571" s="65">
        <v>0</v>
      </c>
      <c r="T571" s="65">
        <v>0</v>
      </c>
      <c r="U571" s="65">
        <v>713.43</v>
      </c>
    </row>
    <row r="572" spans="1:21" s="61" customFormat="1" hidden="1" x14ac:dyDescent="0.25">
      <c r="A572" s="62">
        <v>116885</v>
      </c>
      <c r="B572" s="61" t="s">
        <v>437</v>
      </c>
      <c r="C572" s="63">
        <v>38425</v>
      </c>
      <c r="D572" s="63">
        <v>38436.333333333336</v>
      </c>
      <c r="E572" s="61" t="s">
        <v>560</v>
      </c>
      <c r="F572" s="61" t="s">
        <v>561</v>
      </c>
      <c r="G572" s="61" t="s">
        <v>538</v>
      </c>
      <c r="H572" s="61" t="s">
        <v>441</v>
      </c>
      <c r="I572" s="61" t="s">
        <v>442</v>
      </c>
      <c r="J572" s="61" t="s">
        <v>443</v>
      </c>
      <c r="K572" s="61" t="s">
        <v>443</v>
      </c>
      <c r="L572" s="64">
        <v>0</v>
      </c>
      <c r="M572" s="64">
        <v>0</v>
      </c>
      <c r="N572" s="64">
        <v>28.173999999999999</v>
      </c>
      <c r="O572" s="61" t="s">
        <v>444</v>
      </c>
      <c r="P572" s="64">
        <v>120.96</v>
      </c>
      <c r="Q572" s="65">
        <v>2310.34</v>
      </c>
      <c r="R572" s="65">
        <v>239.62</v>
      </c>
      <c r="S572" s="65">
        <v>0</v>
      </c>
      <c r="T572" s="65">
        <v>0</v>
      </c>
      <c r="U572" s="65">
        <v>2549.9499999999998</v>
      </c>
    </row>
    <row r="573" spans="1:21" s="61" customFormat="1" hidden="1" x14ac:dyDescent="0.25">
      <c r="A573" s="62">
        <v>112777</v>
      </c>
      <c r="B573" s="61" t="s">
        <v>445</v>
      </c>
      <c r="C573" s="63">
        <v>38406</v>
      </c>
      <c r="D573" s="63">
        <v>38406.333333333336</v>
      </c>
      <c r="E573" s="61" t="s">
        <v>485</v>
      </c>
      <c r="F573" s="61" t="s">
        <v>530</v>
      </c>
      <c r="G573" s="61" t="s">
        <v>538</v>
      </c>
      <c r="H573" s="61" t="s">
        <v>457</v>
      </c>
      <c r="I573" s="61" t="s">
        <v>442</v>
      </c>
      <c r="J573" s="61" t="s">
        <v>443</v>
      </c>
      <c r="K573" s="61" t="s">
        <v>443</v>
      </c>
      <c r="L573" s="64">
        <v>0</v>
      </c>
      <c r="M573" s="64">
        <v>0</v>
      </c>
      <c r="N573" s="64">
        <v>28.173999999999999</v>
      </c>
      <c r="O573" s="61" t="s">
        <v>444</v>
      </c>
      <c r="P573" s="64">
        <v>0</v>
      </c>
      <c r="Q573" s="65">
        <v>0</v>
      </c>
      <c r="R573" s="65">
        <v>0</v>
      </c>
      <c r="S573" s="65">
        <v>0</v>
      </c>
      <c r="T573" s="65">
        <v>0</v>
      </c>
      <c r="U573" s="65">
        <v>0</v>
      </c>
    </row>
    <row r="574" spans="1:21" s="61" customFormat="1" hidden="1" x14ac:dyDescent="0.25">
      <c r="A574" s="62">
        <v>103484</v>
      </c>
      <c r="B574" s="61" t="s">
        <v>437</v>
      </c>
      <c r="C574" s="63">
        <v>38370</v>
      </c>
      <c r="D574" s="63">
        <v>38371</v>
      </c>
      <c r="E574" s="61" t="s">
        <v>562</v>
      </c>
      <c r="F574" s="61" t="s">
        <v>563</v>
      </c>
      <c r="G574" s="61" t="s">
        <v>538</v>
      </c>
      <c r="H574" s="61" t="s">
        <v>441</v>
      </c>
      <c r="I574" s="61" t="s">
        <v>442</v>
      </c>
      <c r="J574" s="61" t="s">
        <v>443</v>
      </c>
      <c r="K574" s="61" t="s">
        <v>443</v>
      </c>
      <c r="L574" s="64">
        <v>0</v>
      </c>
      <c r="M574" s="64">
        <v>0</v>
      </c>
      <c r="N574" s="64">
        <v>28.173999999999999</v>
      </c>
      <c r="O574" s="61" t="s">
        <v>444</v>
      </c>
      <c r="P574" s="64">
        <v>31.2</v>
      </c>
      <c r="Q574" s="65">
        <v>653.53</v>
      </c>
      <c r="R574" s="65">
        <v>171.26</v>
      </c>
      <c r="S574" s="65">
        <v>140.85</v>
      </c>
      <c r="T574" s="65">
        <v>0</v>
      </c>
      <c r="U574" s="65">
        <v>965.64</v>
      </c>
    </row>
    <row r="575" spans="1:21" s="61" customFormat="1" hidden="1" x14ac:dyDescent="0.25">
      <c r="A575" s="62">
        <v>96845</v>
      </c>
      <c r="B575" s="61" t="s">
        <v>437</v>
      </c>
      <c r="C575" s="63">
        <v>38334</v>
      </c>
      <c r="D575" s="63">
        <v>38394.333333333336</v>
      </c>
      <c r="E575" s="61" t="s">
        <v>562</v>
      </c>
      <c r="F575" s="61" t="s">
        <v>563</v>
      </c>
      <c r="G575" s="61" t="s">
        <v>538</v>
      </c>
      <c r="H575" s="61" t="s">
        <v>441</v>
      </c>
      <c r="I575" s="61" t="s">
        <v>442</v>
      </c>
      <c r="J575" s="61" t="s">
        <v>443</v>
      </c>
      <c r="K575" s="61" t="s">
        <v>443</v>
      </c>
      <c r="L575" s="64">
        <v>0</v>
      </c>
      <c r="M575" s="64">
        <v>0</v>
      </c>
      <c r="N575" s="64">
        <v>28.173999999999999</v>
      </c>
      <c r="O575" s="61" t="s">
        <v>444</v>
      </c>
      <c r="P575" s="64">
        <v>1357.44</v>
      </c>
      <c r="Q575" s="65">
        <v>28406.15</v>
      </c>
      <c r="R575" s="65">
        <v>8396.93</v>
      </c>
      <c r="S575" s="65">
        <v>16072.06</v>
      </c>
      <c r="T575" s="65">
        <v>0</v>
      </c>
      <c r="U575" s="65">
        <v>52875.14</v>
      </c>
    </row>
    <row r="576" spans="1:21" s="61" customFormat="1" hidden="1" x14ac:dyDescent="0.25">
      <c r="A576" s="62">
        <v>95637</v>
      </c>
      <c r="B576" s="61" t="s">
        <v>445</v>
      </c>
      <c r="C576" s="63">
        <v>38329</v>
      </c>
      <c r="D576" s="63">
        <v>38329.25</v>
      </c>
      <c r="E576" s="61" t="s">
        <v>446</v>
      </c>
      <c r="F576" s="61" t="s">
        <v>530</v>
      </c>
      <c r="G576" s="61" t="s">
        <v>538</v>
      </c>
      <c r="H576" s="61" t="s">
        <v>441</v>
      </c>
      <c r="I576" s="61" t="s">
        <v>442</v>
      </c>
      <c r="J576" s="61" t="s">
        <v>443</v>
      </c>
      <c r="K576" s="61" t="s">
        <v>443</v>
      </c>
      <c r="L576" s="64">
        <v>0</v>
      </c>
      <c r="M576" s="64">
        <v>0</v>
      </c>
      <c r="N576" s="64">
        <v>28.173999999999999</v>
      </c>
      <c r="O576" s="61" t="s">
        <v>444</v>
      </c>
      <c r="P576" s="64">
        <v>43.68</v>
      </c>
      <c r="Q576" s="65">
        <v>198.26</v>
      </c>
      <c r="R576" s="65">
        <v>219.46</v>
      </c>
      <c r="S576" s="65">
        <v>0</v>
      </c>
      <c r="T576" s="65">
        <v>0</v>
      </c>
      <c r="U576" s="65">
        <v>417.72</v>
      </c>
    </row>
    <row r="577" spans="1:21" s="61" customFormat="1" hidden="1" x14ac:dyDescent="0.25">
      <c r="A577" s="62">
        <v>93307</v>
      </c>
      <c r="B577" s="61" t="s">
        <v>437</v>
      </c>
      <c r="C577" s="63">
        <v>38323</v>
      </c>
      <c r="D577" s="63">
        <v>38323.333333333336</v>
      </c>
      <c r="E577" s="61" t="s">
        <v>450</v>
      </c>
      <c r="F577" s="61" t="s">
        <v>564</v>
      </c>
      <c r="G577" s="61" t="s">
        <v>538</v>
      </c>
      <c r="H577" s="61" t="s">
        <v>441</v>
      </c>
      <c r="I577" s="61" t="s">
        <v>442</v>
      </c>
      <c r="J577" s="61" t="s">
        <v>443</v>
      </c>
      <c r="K577" s="61" t="s">
        <v>443</v>
      </c>
      <c r="L577" s="64">
        <v>0</v>
      </c>
      <c r="M577" s="64">
        <v>0</v>
      </c>
      <c r="N577" s="64">
        <v>28.173999999999999</v>
      </c>
      <c r="O577" s="61" t="s">
        <v>444</v>
      </c>
      <c r="P577" s="64">
        <v>28.8</v>
      </c>
      <c r="Q577" s="65">
        <v>1386.97</v>
      </c>
      <c r="R577" s="65">
        <v>231.17</v>
      </c>
      <c r="S577" s="65">
        <v>0</v>
      </c>
      <c r="T577" s="65">
        <v>0</v>
      </c>
      <c r="U577" s="65">
        <v>1618.14</v>
      </c>
    </row>
    <row r="578" spans="1:21" s="61" customFormat="1" hidden="1" x14ac:dyDescent="0.25">
      <c r="A578" s="62">
        <v>93084</v>
      </c>
      <c r="B578" s="61" t="s">
        <v>445</v>
      </c>
      <c r="C578" s="63">
        <v>38321</v>
      </c>
      <c r="D578" s="63">
        <v>38321.333333333336</v>
      </c>
      <c r="E578" s="61" t="s">
        <v>485</v>
      </c>
      <c r="F578" s="61" t="s">
        <v>530</v>
      </c>
      <c r="G578" s="61" t="s">
        <v>538</v>
      </c>
      <c r="H578" s="61" t="s">
        <v>457</v>
      </c>
      <c r="I578" s="61" t="s">
        <v>442</v>
      </c>
      <c r="J578" s="61" t="s">
        <v>443</v>
      </c>
      <c r="K578" s="61" t="s">
        <v>443</v>
      </c>
      <c r="L578" s="64">
        <v>0</v>
      </c>
      <c r="M578" s="64">
        <v>0</v>
      </c>
      <c r="N578" s="64">
        <v>28.173999999999999</v>
      </c>
      <c r="O578" s="61" t="s">
        <v>444</v>
      </c>
      <c r="P578" s="64">
        <v>43.68</v>
      </c>
      <c r="Q578" s="65">
        <v>0</v>
      </c>
      <c r="R578" s="65">
        <v>0</v>
      </c>
      <c r="S578" s="65">
        <v>0</v>
      </c>
      <c r="T578" s="65">
        <v>0</v>
      </c>
      <c r="U578" s="65">
        <v>0</v>
      </c>
    </row>
    <row r="579" spans="1:21" s="61" customFormat="1" hidden="1" x14ac:dyDescent="0.25">
      <c r="A579" s="62">
        <v>92014</v>
      </c>
      <c r="B579" s="61" t="s">
        <v>445</v>
      </c>
      <c r="C579" s="63">
        <v>38313</v>
      </c>
      <c r="D579" s="63">
        <v>38313.166666666664</v>
      </c>
      <c r="E579" s="61" t="s">
        <v>446</v>
      </c>
      <c r="F579" s="61" t="s">
        <v>530</v>
      </c>
      <c r="G579" s="61" t="s">
        <v>538</v>
      </c>
      <c r="H579" s="61" t="s">
        <v>441</v>
      </c>
      <c r="I579" s="61" t="s">
        <v>442</v>
      </c>
      <c r="J579" s="61" t="s">
        <v>443</v>
      </c>
      <c r="K579" s="61" t="s">
        <v>443</v>
      </c>
      <c r="L579" s="64">
        <v>0</v>
      </c>
      <c r="M579" s="64">
        <v>0</v>
      </c>
      <c r="N579" s="64">
        <v>28.173999999999999</v>
      </c>
      <c r="O579" s="61" t="s">
        <v>444</v>
      </c>
      <c r="P579" s="64">
        <v>41.28</v>
      </c>
      <c r="Q579" s="65">
        <v>0</v>
      </c>
      <c r="R579" s="65">
        <v>0</v>
      </c>
      <c r="S579" s="65">
        <v>0</v>
      </c>
      <c r="T579" s="65">
        <v>0</v>
      </c>
      <c r="U579" s="65">
        <v>0</v>
      </c>
    </row>
    <row r="580" spans="1:21" s="61" customFormat="1" hidden="1" x14ac:dyDescent="0.25">
      <c r="A580" s="62">
        <v>86638</v>
      </c>
      <c r="B580" s="61" t="s">
        <v>437</v>
      </c>
      <c r="C580" s="63">
        <v>38292</v>
      </c>
      <c r="D580" s="63">
        <v>38292.333333333336</v>
      </c>
      <c r="E580" s="61" t="s">
        <v>450</v>
      </c>
      <c r="F580" s="61" t="s">
        <v>565</v>
      </c>
      <c r="G580" s="61" t="s">
        <v>538</v>
      </c>
      <c r="H580" s="61" t="s">
        <v>441</v>
      </c>
      <c r="I580" s="61" t="s">
        <v>442</v>
      </c>
      <c r="J580" s="61" t="s">
        <v>443</v>
      </c>
      <c r="K580" s="61" t="s">
        <v>443</v>
      </c>
      <c r="L580" s="64">
        <v>0</v>
      </c>
      <c r="M580" s="64">
        <v>0</v>
      </c>
      <c r="N580" s="64">
        <v>28.173999999999999</v>
      </c>
      <c r="O580" s="61" t="s">
        <v>444</v>
      </c>
      <c r="P580" s="64">
        <v>38.4</v>
      </c>
      <c r="Q580" s="65">
        <v>787.66</v>
      </c>
      <c r="R580" s="65">
        <v>407.42</v>
      </c>
      <c r="S580" s="65">
        <v>0</v>
      </c>
      <c r="T580" s="65">
        <v>0</v>
      </c>
      <c r="U580" s="65">
        <v>1195.08</v>
      </c>
    </row>
    <row r="581" spans="1:21" s="61" customFormat="1" hidden="1" x14ac:dyDescent="0.25">
      <c r="A581" s="62">
        <v>84533</v>
      </c>
      <c r="B581" s="61" t="s">
        <v>445</v>
      </c>
      <c r="C581" s="63">
        <v>38278.166666666664</v>
      </c>
      <c r="D581" s="63">
        <v>38278.333333333336</v>
      </c>
      <c r="E581" s="61" t="s">
        <v>485</v>
      </c>
      <c r="F581" s="61" t="s">
        <v>530</v>
      </c>
      <c r="G581" s="61" t="s">
        <v>538</v>
      </c>
      <c r="H581" s="61" t="s">
        <v>457</v>
      </c>
      <c r="I581" s="61" t="s">
        <v>442</v>
      </c>
      <c r="J581" s="61" t="s">
        <v>443</v>
      </c>
      <c r="K581" s="61" t="s">
        <v>443</v>
      </c>
      <c r="L581" s="64">
        <v>0</v>
      </c>
      <c r="M581" s="64">
        <v>0</v>
      </c>
      <c r="N581" s="64">
        <v>28.173999999999999</v>
      </c>
      <c r="O581" s="61" t="s">
        <v>444</v>
      </c>
      <c r="P581" s="64">
        <v>22.56</v>
      </c>
      <c r="Q581" s="65">
        <v>132.16999999999999</v>
      </c>
      <c r="R581" s="65">
        <v>45.7</v>
      </c>
      <c r="S581" s="65">
        <v>0</v>
      </c>
      <c r="T581" s="65">
        <v>0</v>
      </c>
      <c r="U581" s="65">
        <v>177.87</v>
      </c>
    </row>
    <row r="582" spans="1:21" s="61" customFormat="1" hidden="1" x14ac:dyDescent="0.25">
      <c r="A582" s="62">
        <v>82636</v>
      </c>
      <c r="B582" s="61" t="s">
        <v>445</v>
      </c>
      <c r="C582" s="63">
        <v>38274</v>
      </c>
      <c r="D582" s="63">
        <v>38274.333333333336</v>
      </c>
      <c r="E582" s="61" t="s">
        <v>446</v>
      </c>
      <c r="F582" s="61" t="s">
        <v>530</v>
      </c>
      <c r="G582" s="61" t="s">
        <v>542</v>
      </c>
      <c r="H582" s="61" t="s">
        <v>441</v>
      </c>
      <c r="I582" s="61" t="s">
        <v>442</v>
      </c>
      <c r="J582" s="61" t="s">
        <v>443</v>
      </c>
      <c r="K582" s="61" t="s">
        <v>443</v>
      </c>
      <c r="L582" s="64">
        <v>0</v>
      </c>
      <c r="M582" s="64">
        <v>31.09</v>
      </c>
      <c r="N582" s="64">
        <v>38.479999999999997</v>
      </c>
      <c r="O582" s="61" t="s">
        <v>444</v>
      </c>
      <c r="P582" s="64">
        <v>18</v>
      </c>
      <c r="Q582" s="65">
        <v>275.36</v>
      </c>
      <c r="R582" s="65">
        <v>95.2</v>
      </c>
      <c r="S582" s="65">
        <v>0</v>
      </c>
      <c r="T582" s="65">
        <v>0</v>
      </c>
      <c r="U582" s="65">
        <v>370.56</v>
      </c>
    </row>
    <row r="583" spans="1:21" s="61" customFormat="1" hidden="1" x14ac:dyDescent="0.25">
      <c r="A583" s="62">
        <v>72948</v>
      </c>
      <c r="B583" s="61" t="s">
        <v>437</v>
      </c>
      <c r="C583" s="63">
        <v>38244</v>
      </c>
      <c r="D583" s="63">
        <v>38289.333333333336</v>
      </c>
      <c r="E583" s="61" t="s">
        <v>566</v>
      </c>
      <c r="F583" s="61" t="s">
        <v>567</v>
      </c>
      <c r="G583" s="61" t="s">
        <v>542</v>
      </c>
      <c r="H583" s="61" t="s">
        <v>441</v>
      </c>
      <c r="I583" s="61" t="s">
        <v>442</v>
      </c>
      <c r="J583" s="61" t="s">
        <v>443</v>
      </c>
      <c r="K583" s="61" t="s">
        <v>443</v>
      </c>
      <c r="L583" s="64">
        <v>0</v>
      </c>
      <c r="M583" s="64">
        <v>31.09</v>
      </c>
      <c r="N583" s="64">
        <v>38.479999999999997</v>
      </c>
      <c r="O583" s="61" t="s">
        <v>444</v>
      </c>
      <c r="P583" s="64">
        <v>1500</v>
      </c>
      <c r="Q583" s="65">
        <v>0</v>
      </c>
      <c r="R583" s="65">
        <v>0</v>
      </c>
      <c r="S583" s="65">
        <v>0</v>
      </c>
      <c r="T583" s="65">
        <v>0</v>
      </c>
      <c r="U583" s="65">
        <v>0</v>
      </c>
    </row>
    <row r="584" spans="1:21" s="61" customFormat="1" hidden="1" x14ac:dyDescent="0.25">
      <c r="A584" s="62">
        <v>66491</v>
      </c>
      <c r="B584" s="61" t="s">
        <v>437</v>
      </c>
      <c r="C584" s="63">
        <v>38221</v>
      </c>
      <c r="D584" s="63">
        <v>38223.333333333336</v>
      </c>
      <c r="E584" s="61" t="s">
        <v>450</v>
      </c>
      <c r="F584" s="61" t="s">
        <v>525</v>
      </c>
      <c r="G584" s="61" t="s">
        <v>568</v>
      </c>
      <c r="H584" s="61" t="s">
        <v>441</v>
      </c>
      <c r="I584" s="61" t="s">
        <v>454</v>
      </c>
      <c r="J584" s="61" t="s">
        <v>443</v>
      </c>
      <c r="K584" s="61" t="s">
        <v>443</v>
      </c>
      <c r="L584" s="64">
        <v>0</v>
      </c>
      <c r="M584" s="64">
        <v>0</v>
      </c>
      <c r="N584" s="64">
        <v>2.5</v>
      </c>
      <c r="O584" s="61" t="s">
        <v>444</v>
      </c>
      <c r="P584" s="64">
        <v>2</v>
      </c>
      <c r="Q584" s="65">
        <v>1759.28</v>
      </c>
      <c r="R584" s="65">
        <v>155.19999999999999</v>
      </c>
      <c r="S584" s="65">
        <v>0</v>
      </c>
      <c r="T584" s="65">
        <v>0</v>
      </c>
      <c r="U584" s="65">
        <v>1914.48</v>
      </c>
    </row>
    <row r="585" spans="1:21" s="61" customFormat="1" hidden="1" x14ac:dyDescent="0.25">
      <c r="A585" s="62">
        <v>37472</v>
      </c>
      <c r="B585" s="61" t="s">
        <v>472</v>
      </c>
      <c r="C585" s="63">
        <v>38124</v>
      </c>
      <c r="D585" s="63">
        <v>38124.333333333336</v>
      </c>
      <c r="E585" s="61" t="s">
        <v>547</v>
      </c>
      <c r="F585" s="61" t="s">
        <v>528</v>
      </c>
      <c r="G585" s="61" t="s">
        <v>538</v>
      </c>
      <c r="H585" s="61" t="s">
        <v>546</v>
      </c>
      <c r="I585" s="61" t="s">
        <v>442</v>
      </c>
      <c r="J585" s="61" t="s">
        <v>443</v>
      </c>
      <c r="K585" s="61" t="s">
        <v>443</v>
      </c>
      <c r="L585" s="64">
        <v>0</v>
      </c>
      <c r="M585" s="64">
        <v>0</v>
      </c>
      <c r="N585" s="64">
        <v>28.173999999999999</v>
      </c>
      <c r="O585" s="61" t="s">
        <v>444</v>
      </c>
      <c r="P585" s="64">
        <v>0.96</v>
      </c>
      <c r="Q585" s="65">
        <v>370.94</v>
      </c>
      <c r="R585" s="65">
        <v>104.45</v>
      </c>
      <c r="S585" s="65">
        <v>0</v>
      </c>
      <c r="T585" s="65">
        <v>0</v>
      </c>
      <c r="U585" s="65">
        <v>475.39</v>
      </c>
    </row>
    <row r="586" spans="1:21" s="61" customFormat="1" hidden="1" x14ac:dyDescent="0.25">
      <c r="A586" s="62">
        <v>37439</v>
      </c>
      <c r="B586" s="61" t="s">
        <v>472</v>
      </c>
      <c r="C586" s="63">
        <v>38124</v>
      </c>
      <c r="D586" s="63">
        <v>38126.333333333336</v>
      </c>
      <c r="E586" s="61" t="s">
        <v>500</v>
      </c>
      <c r="F586" s="61" t="s">
        <v>569</v>
      </c>
      <c r="G586" s="61" t="s">
        <v>538</v>
      </c>
      <c r="H586" s="61" t="s">
        <v>441</v>
      </c>
      <c r="I586" s="61" t="s">
        <v>442</v>
      </c>
      <c r="J586" s="61" t="s">
        <v>443</v>
      </c>
      <c r="K586" s="61" t="s">
        <v>443</v>
      </c>
      <c r="L586" s="64">
        <v>0</v>
      </c>
      <c r="M586" s="64">
        <v>0</v>
      </c>
      <c r="N586" s="64">
        <v>28.173999999999999</v>
      </c>
      <c r="O586" s="61" t="s">
        <v>444</v>
      </c>
      <c r="P586" s="64">
        <v>36.479999999999997</v>
      </c>
      <c r="Q586" s="65">
        <v>1112.83</v>
      </c>
      <c r="R586" s="65">
        <v>1073.6600000000001</v>
      </c>
      <c r="S586" s="65">
        <v>0</v>
      </c>
      <c r="T586" s="65">
        <v>0</v>
      </c>
      <c r="U586" s="65">
        <v>2186.5</v>
      </c>
    </row>
    <row r="587" spans="1:21" s="61" customFormat="1" hidden="1" x14ac:dyDescent="0.25">
      <c r="A587" s="62">
        <v>35505</v>
      </c>
      <c r="B587" s="61" t="s">
        <v>437</v>
      </c>
      <c r="C587" s="63">
        <v>38118</v>
      </c>
      <c r="D587" s="63">
        <v>38118.333333333336</v>
      </c>
      <c r="E587" s="61" t="s">
        <v>450</v>
      </c>
      <c r="F587" s="61" t="s">
        <v>570</v>
      </c>
      <c r="G587" s="61" t="s">
        <v>538</v>
      </c>
      <c r="H587" s="61" t="s">
        <v>441</v>
      </c>
      <c r="I587" s="61" t="s">
        <v>442</v>
      </c>
      <c r="J587" s="61" t="s">
        <v>443</v>
      </c>
      <c r="K587" s="61" t="s">
        <v>443</v>
      </c>
      <c r="L587" s="64">
        <v>0</v>
      </c>
      <c r="M587" s="64">
        <v>0</v>
      </c>
      <c r="N587" s="64">
        <v>28.173999999999999</v>
      </c>
      <c r="O587" s="61" t="s">
        <v>444</v>
      </c>
      <c r="P587" s="64">
        <v>7.68</v>
      </c>
      <c r="Q587" s="65">
        <v>0</v>
      </c>
      <c r="R587" s="65">
        <v>0</v>
      </c>
      <c r="S587" s="65">
        <v>0</v>
      </c>
      <c r="T587" s="65">
        <v>0</v>
      </c>
      <c r="U587" s="65">
        <v>0</v>
      </c>
    </row>
    <row r="588" spans="1:21" s="61" customFormat="1" hidden="1" x14ac:dyDescent="0.25">
      <c r="A588" s="62">
        <v>35496</v>
      </c>
      <c r="B588" s="61" t="s">
        <v>437</v>
      </c>
      <c r="C588" s="63">
        <v>38118</v>
      </c>
      <c r="D588" s="63">
        <v>38118.333333333336</v>
      </c>
      <c r="E588" s="61" t="s">
        <v>571</v>
      </c>
      <c r="F588" s="61" t="s">
        <v>572</v>
      </c>
      <c r="G588" s="61" t="s">
        <v>542</v>
      </c>
      <c r="H588" s="61" t="s">
        <v>441</v>
      </c>
      <c r="I588" s="61" t="s">
        <v>442</v>
      </c>
      <c r="J588" s="61" t="s">
        <v>443</v>
      </c>
      <c r="K588" s="61" t="s">
        <v>443</v>
      </c>
      <c r="L588" s="64">
        <v>0</v>
      </c>
      <c r="M588" s="64">
        <v>31.09</v>
      </c>
      <c r="N588" s="64">
        <v>38.479999999999997</v>
      </c>
      <c r="O588" s="61" t="s">
        <v>444</v>
      </c>
      <c r="P588" s="64">
        <v>10</v>
      </c>
      <c r="Q588" s="65">
        <v>0</v>
      </c>
      <c r="R588" s="65">
        <v>0</v>
      </c>
      <c r="S588" s="65">
        <v>0</v>
      </c>
      <c r="T588" s="65">
        <v>0</v>
      </c>
      <c r="U588" s="65">
        <v>0</v>
      </c>
    </row>
    <row r="589" spans="1:21" s="61" customFormat="1" hidden="1" x14ac:dyDescent="0.25">
      <c r="A589" s="62">
        <v>35493</v>
      </c>
      <c r="B589" s="61" t="s">
        <v>437</v>
      </c>
      <c r="C589" s="63">
        <v>38118</v>
      </c>
      <c r="D589" s="63">
        <v>38118.333333333336</v>
      </c>
      <c r="E589" s="61" t="s">
        <v>450</v>
      </c>
      <c r="F589" s="61" t="s">
        <v>573</v>
      </c>
      <c r="G589" s="61" t="s">
        <v>538</v>
      </c>
      <c r="H589" s="61" t="s">
        <v>441</v>
      </c>
      <c r="I589" s="61" t="s">
        <v>442</v>
      </c>
      <c r="J589" s="61" t="s">
        <v>443</v>
      </c>
      <c r="K589" s="61" t="s">
        <v>443</v>
      </c>
      <c r="L589" s="64">
        <v>0</v>
      </c>
      <c r="M589" s="64">
        <v>0</v>
      </c>
      <c r="N589" s="64">
        <v>28.173999999999999</v>
      </c>
      <c r="O589" s="61" t="s">
        <v>444</v>
      </c>
      <c r="P589" s="64">
        <v>15.36</v>
      </c>
      <c r="Q589" s="65">
        <v>0</v>
      </c>
      <c r="R589" s="65">
        <v>0</v>
      </c>
      <c r="S589" s="65">
        <v>0</v>
      </c>
      <c r="T589" s="65">
        <v>0</v>
      </c>
      <c r="U589" s="65">
        <v>0</v>
      </c>
    </row>
    <row r="590" spans="1:21" s="61" customFormat="1" hidden="1" x14ac:dyDescent="0.25">
      <c r="A590" s="62">
        <v>22909</v>
      </c>
      <c r="B590" s="61" t="s">
        <v>437</v>
      </c>
      <c r="C590" s="63">
        <v>38042</v>
      </c>
      <c r="D590" s="63">
        <v>38042.333333333336</v>
      </c>
      <c r="E590" s="61" t="s">
        <v>450</v>
      </c>
      <c r="F590" s="61" t="s">
        <v>527</v>
      </c>
      <c r="G590" s="61" t="s">
        <v>538</v>
      </c>
      <c r="H590" s="61" t="s">
        <v>441</v>
      </c>
      <c r="I590" s="61" t="s">
        <v>442</v>
      </c>
      <c r="J590" s="61" t="s">
        <v>443</v>
      </c>
      <c r="K590" s="61" t="s">
        <v>443</v>
      </c>
      <c r="L590" s="64">
        <v>0</v>
      </c>
      <c r="M590" s="64">
        <v>0</v>
      </c>
      <c r="N590" s="64">
        <v>28.173999999999999</v>
      </c>
      <c r="O590" s="61" t="s">
        <v>444</v>
      </c>
      <c r="P590" s="64">
        <v>0</v>
      </c>
      <c r="Q590" s="65">
        <v>0</v>
      </c>
      <c r="R590" s="65">
        <v>0</v>
      </c>
      <c r="S590" s="65">
        <v>0</v>
      </c>
      <c r="T590" s="65">
        <v>0</v>
      </c>
      <c r="U590" s="65">
        <v>0</v>
      </c>
    </row>
    <row r="591" spans="1:21" s="61" customFormat="1" hidden="1" x14ac:dyDescent="0.25">
      <c r="A591" s="62">
        <v>22893</v>
      </c>
      <c r="B591" s="61" t="s">
        <v>437</v>
      </c>
      <c r="C591" s="63">
        <v>38042</v>
      </c>
      <c r="D591" s="63">
        <v>38042.333333333336</v>
      </c>
      <c r="E591" s="61" t="s">
        <v>450</v>
      </c>
      <c r="F591" s="61" t="s">
        <v>515</v>
      </c>
      <c r="G591" s="61" t="s">
        <v>538</v>
      </c>
      <c r="H591" s="61" t="s">
        <v>441</v>
      </c>
      <c r="I591" s="61" t="s">
        <v>442</v>
      </c>
      <c r="J591" s="61" t="s">
        <v>443</v>
      </c>
      <c r="K591" s="61" t="s">
        <v>443</v>
      </c>
      <c r="L591" s="64">
        <v>0</v>
      </c>
      <c r="M591" s="64">
        <v>0</v>
      </c>
      <c r="N591" s="64">
        <v>28.173999999999999</v>
      </c>
      <c r="O591" s="61" t="s">
        <v>444</v>
      </c>
      <c r="P591" s="64">
        <v>0</v>
      </c>
      <c r="Q591" s="65">
        <v>0</v>
      </c>
      <c r="R591" s="65">
        <v>0</v>
      </c>
      <c r="S591" s="65">
        <v>0</v>
      </c>
      <c r="T591" s="65">
        <v>0</v>
      </c>
      <c r="U591" s="65">
        <v>0</v>
      </c>
    </row>
    <row r="592" spans="1:21" s="61" customFormat="1" hidden="1" x14ac:dyDescent="0.25">
      <c r="A592" s="62">
        <v>22801</v>
      </c>
      <c r="B592" s="61" t="s">
        <v>437</v>
      </c>
      <c r="C592" s="63">
        <v>38041</v>
      </c>
      <c r="D592" s="63">
        <v>38041.333333333336</v>
      </c>
      <c r="E592" s="61" t="s">
        <v>574</v>
      </c>
      <c r="F592" s="61" t="s">
        <v>575</v>
      </c>
      <c r="G592" s="61" t="s">
        <v>543</v>
      </c>
      <c r="H592" s="61" t="s">
        <v>497</v>
      </c>
      <c r="I592" s="61" t="s">
        <v>442</v>
      </c>
      <c r="J592" s="61" t="s">
        <v>443</v>
      </c>
      <c r="K592" s="61" t="s">
        <v>443</v>
      </c>
      <c r="L592" s="64">
        <v>0</v>
      </c>
      <c r="M592" s="64">
        <v>30.95</v>
      </c>
      <c r="N592" s="64">
        <v>31.09</v>
      </c>
      <c r="O592" s="61" t="s">
        <v>444</v>
      </c>
      <c r="P592" s="64">
        <v>0</v>
      </c>
      <c r="Q592" s="65">
        <v>0</v>
      </c>
      <c r="R592" s="65">
        <v>0</v>
      </c>
      <c r="S592" s="65">
        <v>0</v>
      </c>
      <c r="T592" s="65">
        <v>0</v>
      </c>
      <c r="U592" s="65">
        <v>0</v>
      </c>
    </row>
    <row r="593" spans="1:22" s="61" customFormat="1" hidden="1" x14ac:dyDescent="0.25">
      <c r="A593" s="62">
        <v>22798</v>
      </c>
      <c r="B593" s="61" t="s">
        <v>437</v>
      </c>
      <c r="C593" s="63">
        <v>38041</v>
      </c>
      <c r="D593" s="63">
        <v>38041.333333333336</v>
      </c>
      <c r="E593" s="61" t="s">
        <v>574</v>
      </c>
      <c r="F593" s="61" t="s">
        <v>576</v>
      </c>
      <c r="G593" s="61" t="s">
        <v>538</v>
      </c>
      <c r="H593" s="61" t="s">
        <v>497</v>
      </c>
      <c r="I593" s="61" t="s">
        <v>442</v>
      </c>
      <c r="J593" s="61" t="s">
        <v>443</v>
      </c>
      <c r="K593" s="61" t="s">
        <v>443</v>
      </c>
      <c r="L593" s="64">
        <v>0</v>
      </c>
      <c r="M593" s="64">
        <v>0</v>
      </c>
      <c r="N593" s="64">
        <v>28.173999999999999</v>
      </c>
      <c r="O593" s="61" t="s">
        <v>444</v>
      </c>
      <c r="P593" s="64">
        <v>0</v>
      </c>
      <c r="Q593" s="65">
        <v>0</v>
      </c>
      <c r="R593" s="65">
        <v>0</v>
      </c>
      <c r="S593" s="65">
        <v>0</v>
      </c>
      <c r="T593" s="65">
        <v>0</v>
      </c>
      <c r="U593" s="65">
        <v>0</v>
      </c>
    </row>
    <row r="594" spans="1:22" s="61" customFormat="1" hidden="1" x14ac:dyDescent="0.25">
      <c r="A594" s="62">
        <v>22762</v>
      </c>
      <c r="B594" s="61" t="s">
        <v>437</v>
      </c>
      <c r="C594" s="63">
        <v>38041</v>
      </c>
      <c r="D594" s="63">
        <v>38041.333333333336</v>
      </c>
      <c r="E594" s="61" t="s">
        <v>574</v>
      </c>
      <c r="F594" s="61" t="s">
        <v>521</v>
      </c>
      <c r="G594" s="61" t="s">
        <v>538</v>
      </c>
      <c r="H594" s="61" t="s">
        <v>497</v>
      </c>
      <c r="I594" s="61" t="s">
        <v>442</v>
      </c>
      <c r="J594" s="61" t="s">
        <v>443</v>
      </c>
      <c r="K594" s="61" t="s">
        <v>443</v>
      </c>
      <c r="L594" s="64">
        <v>0</v>
      </c>
      <c r="M594" s="64">
        <v>0</v>
      </c>
      <c r="N594" s="64">
        <v>28.173999999999999</v>
      </c>
      <c r="O594" s="61" t="s">
        <v>444</v>
      </c>
      <c r="P594" s="64">
        <v>0</v>
      </c>
      <c r="Q594" s="65">
        <v>0</v>
      </c>
      <c r="R594" s="65">
        <v>0</v>
      </c>
      <c r="S594" s="65">
        <v>0</v>
      </c>
      <c r="T594" s="65">
        <v>0</v>
      </c>
      <c r="U594" s="65">
        <v>0</v>
      </c>
    </row>
    <row r="595" spans="1:22" x14ac:dyDescent="0.25">
      <c r="A595" s="289"/>
      <c r="B595" s="289"/>
      <c r="C595" s="289"/>
      <c r="D595" s="289"/>
      <c r="E595" s="289"/>
      <c r="F595" s="289"/>
      <c r="G595" s="289"/>
      <c r="H595" s="289"/>
      <c r="I595" s="289"/>
      <c r="J595" s="289"/>
      <c r="K595" s="289"/>
      <c r="L595" s="289"/>
      <c r="M595" s="289"/>
      <c r="N595" s="289"/>
      <c r="O595" s="289"/>
      <c r="P595" s="294"/>
      <c r="Q595" s="289"/>
      <c r="R595" s="289"/>
      <c r="S595" s="289"/>
      <c r="T595" s="289"/>
      <c r="U595" s="295">
        <f>SUBTOTAL(9,U3:U67)</f>
        <v>130217.08999999998</v>
      </c>
      <c r="V595" s="289" t="s">
        <v>577</v>
      </c>
    </row>
    <row r="596" spans="1:22" x14ac:dyDescent="0.25">
      <c r="A596" s="289"/>
      <c r="B596" s="289"/>
      <c r="C596" s="289"/>
      <c r="D596" s="289"/>
      <c r="E596" s="289"/>
      <c r="F596" s="289"/>
      <c r="G596" s="289"/>
      <c r="H596" s="289"/>
      <c r="I596" s="289"/>
      <c r="J596" s="289"/>
      <c r="K596" s="289"/>
      <c r="L596" s="289"/>
      <c r="M596" s="289"/>
      <c r="N596" s="289"/>
      <c r="O596" s="289"/>
      <c r="P596" s="289"/>
      <c r="Q596" s="289" t="s">
        <v>578</v>
      </c>
      <c r="R596" s="289" t="s">
        <v>579</v>
      </c>
      <c r="S596" s="289" t="s">
        <v>580</v>
      </c>
      <c r="T596" s="289"/>
      <c r="U596" s="289"/>
      <c r="V596" s="289"/>
    </row>
    <row r="597" spans="1:22" x14ac:dyDescent="0.25">
      <c r="A597" s="289"/>
      <c r="B597" s="289"/>
      <c r="C597" s="289"/>
      <c r="D597" s="289"/>
      <c r="E597" s="289"/>
      <c r="F597" s="289"/>
      <c r="G597" s="289"/>
      <c r="H597" s="289"/>
      <c r="I597" s="289"/>
      <c r="J597" s="289"/>
      <c r="K597" s="289"/>
      <c r="L597" s="289"/>
      <c r="M597" s="289"/>
      <c r="N597" s="289"/>
      <c r="O597" s="289"/>
      <c r="P597" s="290">
        <v>2018</v>
      </c>
      <c r="Q597" s="296">
        <f>P67+P61+P56</f>
        <v>25.3</v>
      </c>
      <c r="R597" s="289">
        <v>3</v>
      </c>
      <c r="S597" s="297">
        <f t="shared" ref="S597:S598" si="0">Q597/R597</f>
        <v>8.4333333333333336</v>
      </c>
      <c r="T597" s="289"/>
      <c r="U597" s="289"/>
      <c r="V597" s="289"/>
    </row>
    <row r="598" spans="1:22" x14ac:dyDescent="0.25">
      <c r="A598" s="289"/>
      <c r="B598" s="289" t="s">
        <v>581</v>
      </c>
      <c r="C598" s="289"/>
      <c r="D598" s="289"/>
      <c r="E598" s="289"/>
      <c r="F598" s="289"/>
      <c r="G598" s="289"/>
      <c r="H598" s="289"/>
      <c r="I598" s="289"/>
      <c r="J598" s="289"/>
      <c r="K598" s="289"/>
      <c r="L598" s="289"/>
      <c r="M598" s="289"/>
      <c r="N598" s="289"/>
      <c r="O598" s="289"/>
      <c r="P598" s="296">
        <f>P597+1</f>
        <v>2019</v>
      </c>
      <c r="Q598" s="296">
        <f>P54+P50</f>
        <v>13.7</v>
      </c>
      <c r="R598" s="289">
        <v>2</v>
      </c>
      <c r="S598" s="297">
        <f t="shared" si="0"/>
        <v>6.85</v>
      </c>
      <c r="T598" s="289"/>
      <c r="U598" s="289"/>
      <c r="V598" s="289"/>
    </row>
    <row r="599" spans="1:22" x14ac:dyDescent="0.25">
      <c r="A599" s="289"/>
      <c r="B599" s="289"/>
      <c r="C599" s="289"/>
      <c r="D599" s="289"/>
      <c r="E599" s="289"/>
      <c r="F599" s="289"/>
      <c r="G599" s="289"/>
      <c r="H599" s="289"/>
      <c r="I599" s="289"/>
      <c r="J599" s="289"/>
      <c r="K599" s="289"/>
      <c r="L599" s="289"/>
      <c r="M599" s="289"/>
      <c r="N599" s="289"/>
      <c r="O599" s="289"/>
      <c r="P599" s="296">
        <f>P598+1</f>
        <v>2020</v>
      </c>
      <c r="Q599" s="296">
        <f>P48+P45</f>
        <v>12</v>
      </c>
      <c r="R599" s="289">
        <v>3</v>
      </c>
      <c r="S599" s="297">
        <f>Q599/R599</f>
        <v>4</v>
      </c>
      <c r="T599" s="289"/>
      <c r="U599" s="289"/>
      <c r="V599" s="289"/>
    </row>
    <row r="600" spans="1:22" x14ac:dyDescent="0.25">
      <c r="A600" s="289"/>
      <c r="B600" s="289"/>
      <c r="C600" s="289"/>
      <c r="D600" s="289"/>
      <c r="E600" s="289"/>
      <c r="F600" s="289"/>
      <c r="G600" s="289"/>
      <c r="H600" s="289"/>
      <c r="I600" s="289"/>
      <c r="J600" s="289"/>
      <c r="K600" s="289"/>
      <c r="L600" s="289"/>
      <c r="M600" s="289"/>
      <c r="N600" s="289"/>
      <c r="O600" s="289"/>
      <c r="P600" s="296">
        <f>P599+1</f>
        <v>2021</v>
      </c>
      <c r="Q600" s="296">
        <f>P44+P41+P40+P39+P37+P35+P34</f>
        <v>743.5</v>
      </c>
      <c r="R600" s="289">
        <v>7</v>
      </c>
      <c r="S600" s="297">
        <f t="shared" ref="S600:S601" si="1">Q600/R600</f>
        <v>106.21428571428571</v>
      </c>
      <c r="T600" s="289"/>
      <c r="U600" s="289"/>
      <c r="V600" s="289"/>
    </row>
    <row r="601" spans="1:22" x14ac:dyDescent="0.25">
      <c r="A601" s="289"/>
      <c r="B601" s="289"/>
      <c r="C601" s="289"/>
      <c r="D601" s="289"/>
      <c r="E601" s="289"/>
      <c r="F601" s="289"/>
      <c r="G601" s="289"/>
      <c r="H601" s="289"/>
      <c r="I601" s="289"/>
      <c r="J601" s="289"/>
      <c r="K601" s="289"/>
      <c r="L601" s="289"/>
      <c r="M601" s="289"/>
      <c r="N601" s="289"/>
      <c r="O601" s="289"/>
      <c r="P601" s="296">
        <f>P600+1</f>
        <v>2022</v>
      </c>
      <c r="Q601" s="296">
        <f>P32+P26+P24+P23+P20+P19+P18+P16+P15+P13+P12+P11+P10+P9+P8+P5+P4</f>
        <v>265.89999999999998</v>
      </c>
      <c r="R601" s="289">
        <v>17</v>
      </c>
      <c r="S601" s="297">
        <f t="shared" si="1"/>
        <v>15.641176470588235</v>
      </c>
      <c r="T601" s="289"/>
      <c r="U601" s="289"/>
      <c r="V601" s="289"/>
    </row>
    <row r="602" spans="1:22" x14ac:dyDescent="0.25">
      <c r="A602" s="289"/>
      <c r="B602" s="289"/>
      <c r="C602" s="289"/>
      <c r="D602" s="289"/>
      <c r="E602" s="289"/>
      <c r="F602" s="289"/>
      <c r="G602" s="289"/>
      <c r="H602" s="289"/>
      <c r="I602" s="289"/>
      <c r="J602" s="289"/>
      <c r="K602" s="289"/>
      <c r="L602" s="289"/>
      <c r="M602" s="289"/>
      <c r="N602" s="289"/>
      <c r="O602" s="289"/>
      <c r="P602" s="289"/>
      <c r="Q602" s="296">
        <f>AVERAGE(Q599:Q601)</f>
        <v>340.46666666666664</v>
      </c>
      <c r="R602" s="296">
        <f>AVERAGE(R599:R601)</f>
        <v>9</v>
      </c>
      <c r="S602" s="296">
        <f>AVERAGE(S599:S601)</f>
        <v>41.951820728291317</v>
      </c>
      <c r="T602" s="289"/>
      <c r="U602" s="289"/>
      <c r="V602" s="289"/>
    </row>
    <row r="603" spans="1:22" x14ac:dyDescent="0.25">
      <c r="A603" s="289"/>
      <c r="B603" s="289"/>
      <c r="C603" s="289"/>
      <c r="D603" s="289"/>
      <c r="E603" s="289"/>
      <c r="F603" s="289"/>
      <c r="G603" s="289"/>
      <c r="H603" s="289"/>
      <c r="I603" s="289"/>
      <c r="J603" s="289"/>
      <c r="K603" s="289"/>
      <c r="L603" s="289"/>
      <c r="M603" s="289"/>
      <c r="N603" s="289"/>
      <c r="O603" s="289"/>
      <c r="P603" s="289"/>
      <c r="Q603" s="289"/>
      <c r="R603" s="289"/>
      <c r="S603" s="289"/>
      <c r="T603" s="289"/>
      <c r="U603" s="289"/>
      <c r="V603" s="289"/>
    </row>
    <row r="604" spans="1:22" x14ac:dyDescent="0.25">
      <c r="A604" s="289"/>
      <c r="B604" s="289"/>
      <c r="C604" s="289"/>
      <c r="D604" s="289"/>
      <c r="E604" s="289"/>
      <c r="F604" s="289"/>
      <c r="G604" s="289"/>
      <c r="H604" s="289"/>
      <c r="I604" s="289"/>
      <c r="J604" s="289"/>
      <c r="K604" s="289"/>
      <c r="L604" s="289"/>
      <c r="M604" s="289"/>
      <c r="N604" s="289"/>
      <c r="O604" s="289"/>
      <c r="P604" s="289"/>
      <c r="Q604" s="289"/>
      <c r="R604" s="286" t="s">
        <v>582</v>
      </c>
      <c r="S604" s="294">
        <f>AVERAGE(P67,P61,P56,P54,P50,P48,P45,P40,P39,P37,P32,P24,P20,P18,P16,P15,P13,P12,P11,P10,P9,P8,P4,P3)</f>
        <v>6.8916666666666666</v>
      </c>
      <c r="T604" s="289"/>
      <c r="U604" s="289"/>
      <c r="V604" s="289"/>
    </row>
    <row r="605" spans="1:22" x14ac:dyDescent="0.25">
      <c r="A605" s="289"/>
      <c r="B605" s="289"/>
      <c r="C605" s="289"/>
      <c r="D605" s="289"/>
      <c r="E605" s="289"/>
      <c r="F605" s="289"/>
      <c r="G605" s="289"/>
      <c r="H605" s="289"/>
      <c r="I605" s="289"/>
      <c r="J605" s="289"/>
      <c r="K605" s="289"/>
      <c r="L605" s="289"/>
      <c r="M605" s="289"/>
      <c r="N605" s="289"/>
      <c r="O605" s="289"/>
      <c r="P605" s="294"/>
      <c r="Q605" s="289"/>
      <c r="R605" s="286" t="s">
        <v>583</v>
      </c>
      <c r="S605" s="298">
        <f>S604/2</f>
        <v>3.4458333333333333</v>
      </c>
      <c r="T605" s="289"/>
      <c r="U605" s="289"/>
      <c r="V605" s="289"/>
    </row>
  </sheetData>
  <autoFilter ref="M1:M594" xr:uid="{62CCBEC5-2DDC-46E3-91AE-AA84FEED2AAA}">
    <filterColumn colId="0">
      <filters>
        <filter val="29.63"/>
        <filter val="29.64"/>
        <filter val="30.95"/>
        <filter val="31.00"/>
        <filter val="31.09"/>
        <filter val="31.27"/>
        <filter val="31.50"/>
        <filter val="32.50"/>
        <filter val="33.97"/>
        <filter val="36.38"/>
        <filter val="36.96"/>
        <filter val="37.06"/>
        <filter val="38.16"/>
        <filter val="38.48"/>
      </filters>
    </filterColumn>
  </autoFilter>
  <pageMargins left="0.75" right="0.75" top="1" bottom="1" header="0.5" footer="0.5"/>
  <pageSetup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E0F20-98C3-4ED4-A250-0FB00DBE5F64}">
  <sheetPr>
    <tabColor rgb="FFCDE0FF"/>
  </sheetPr>
  <dimension ref="B1:J35"/>
  <sheetViews>
    <sheetView workbookViewId="0">
      <selection activeCell="P27" sqref="P27"/>
    </sheetView>
  </sheetViews>
  <sheetFormatPr defaultColWidth="9.109375" defaultRowHeight="14.4" x14ac:dyDescent="0.3"/>
  <cols>
    <col min="1" max="1" width="9.109375" style="3"/>
    <col min="2" max="2" width="23.33203125" style="3" bestFit="1" customWidth="1"/>
    <col min="3" max="3" width="20.33203125" style="3" bestFit="1" customWidth="1"/>
    <col min="4" max="4" width="23.33203125" style="3" bestFit="1" customWidth="1"/>
    <col min="5" max="5" width="16" style="3" bestFit="1" customWidth="1"/>
    <col min="6" max="6" width="9.109375" style="3"/>
    <col min="7" max="7" width="21.6640625" style="3" customWidth="1"/>
    <col min="8" max="8" width="9.109375" style="3"/>
    <col min="9" max="9" width="12.44140625" style="3" customWidth="1"/>
    <col min="10" max="10" width="13.44140625" style="3" customWidth="1"/>
    <col min="11" max="16384" width="9.109375" style="3"/>
  </cols>
  <sheetData>
    <row r="1" spans="2:5" x14ac:dyDescent="0.3">
      <c r="B1" s="3" t="s">
        <v>584</v>
      </c>
    </row>
    <row r="2" spans="2:5" x14ac:dyDescent="0.3">
      <c r="B2" s="3" t="s">
        <v>585</v>
      </c>
    </row>
    <row r="4" spans="2:5" x14ac:dyDescent="0.3">
      <c r="B4" s="3" t="s">
        <v>586</v>
      </c>
      <c r="C4" s="3" t="s">
        <v>587</v>
      </c>
      <c r="D4" s="3" t="s">
        <v>588</v>
      </c>
      <c r="E4" s="3" t="s">
        <v>589</v>
      </c>
    </row>
    <row r="5" spans="2:5" x14ac:dyDescent="0.3">
      <c r="B5" s="3">
        <v>2018</v>
      </c>
      <c r="E5" s="231"/>
    </row>
    <row r="6" spans="2:5" x14ac:dyDescent="0.3">
      <c r="B6" s="3" t="s">
        <v>590</v>
      </c>
      <c r="C6" s="224">
        <v>60.666666666744277</v>
      </c>
      <c r="D6" s="3">
        <v>11</v>
      </c>
      <c r="E6" s="231">
        <f>C6/D6</f>
        <v>5.5151515151585704</v>
      </c>
    </row>
    <row r="7" spans="2:5" x14ac:dyDescent="0.3">
      <c r="B7" s="3" t="s">
        <v>591</v>
      </c>
      <c r="C7" s="224">
        <v>289.93333333334886</v>
      </c>
      <c r="D7" s="3">
        <v>4</v>
      </c>
      <c r="E7" s="231">
        <f t="shared" ref="E7:E23" si="0">C7/D7</f>
        <v>72.483333333337214</v>
      </c>
    </row>
    <row r="8" spans="2:5" x14ac:dyDescent="0.3">
      <c r="B8" s="3">
        <v>2019</v>
      </c>
      <c r="C8" s="224"/>
      <c r="E8" s="231"/>
    </row>
    <row r="9" spans="2:5" x14ac:dyDescent="0.3">
      <c r="B9" s="3" t="s">
        <v>590</v>
      </c>
      <c r="C9" s="224">
        <v>50.25</v>
      </c>
      <c r="D9" s="3">
        <v>16</v>
      </c>
      <c r="E9" s="231">
        <f t="shared" si="0"/>
        <v>3.140625</v>
      </c>
    </row>
    <row r="10" spans="2:5" x14ac:dyDescent="0.3">
      <c r="B10" s="3" t="s">
        <v>592</v>
      </c>
      <c r="C10" s="224">
        <v>92.833333333488554</v>
      </c>
      <c r="D10" s="3">
        <v>5</v>
      </c>
      <c r="E10" s="231">
        <f t="shared" si="0"/>
        <v>18.56666666669771</v>
      </c>
    </row>
    <row r="11" spans="2:5" x14ac:dyDescent="0.3">
      <c r="B11" s="3">
        <v>2020</v>
      </c>
      <c r="C11" s="224"/>
      <c r="E11" s="231"/>
    </row>
    <row r="12" spans="2:5" x14ac:dyDescent="0.3">
      <c r="B12" s="3" t="s">
        <v>590</v>
      </c>
      <c r="C12" s="224">
        <v>341.06666666624369</v>
      </c>
      <c r="D12" s="3">
        <v>37</v>
      </c>
      <c r="E12" s="231">
        <f t="shared" si="0"/>
        <v>9.2180180180065854</v>
      </c>
    </row>
    <row r="13" spans="2:5" x14ac:dyDescent="0.3">
      <c r="B13" s="3" t="s">
        <v>592</v>
      </c>
      <c r="C13" s="224">
        <v>5077.8666666668141</v>
      </c>
      <c r="D13" s="3">
        <v>14</v>
      </c>
      <c r="E13" s="231">
        <f t="shared" si="0"/>
        <v>362.70476190477245</v>
      </c>
    </row>
    <row r="14" spans="2:5" x14ac:dyDescent="0.3">
      <c r="B14" s="3" t="s">
        <v>591</v>
      </c>
      <c r="C14" s="224">
        <v>267.36666666698875</v>
      </c>
      <c r="D14" s="3">
        <v>10</v>
      </c>
      <c r="E14" s="231">
        <f t="shared" si="0"/>
        <v>26.736666666698873</v>
      </c>
    </row>
    <row r="15" spans="2:5" x14ac:dyDescent="0.3">
      <c r="B15" s="3">
        <v>2021</v>
      </c>
      <c r="C15" s="224"/>
      <c r="E15" s="231"/>
    </row>
    <row r="16" spans="2:5" x14ac:dyDescent="0.3">
      <c r="B16" s="3" t="s">
        <v>590</v>
      </c>
      <c r="C16" s="224">
        <v>490.16666666627862</v>
      </c>
      <c r="D16" s="3">
        <v>31</v>
      </c>
      <c r="E16" s="231">
        <f t="shared" si="0"/>
        <v>15.81182795697673</v>
      </c>
    </row>
    <row r="17" spans="2:10" x14ac:dyDescent="0.3">
      <c r="B17" s="3" t="s">
        <v>592</v>
      </c>
      <c r="C17" s="224">
        <v>14150.783333333326</v>
      </c>
      <c r="D17" s="3">
        <v>31</v>
      </c>
      <c r="E17" s="231">
        <f t="shared" si="0"/>
        <v>456.47688172042984</v>
      </c>
    </row>
    <row r="18" spans="2:10" x14ac:dyDescent="0.3">
      <c r="B18" s="3">
        <v>2022</v>
      </c>
      <c r="C18" s="224"/>
      <c r="E18" s="231"/>
    </row>
    <row r="19" spans="2:10" x14ac:dyDescent="0.3">
      <c r="B19" s="3" t="s">
        <v>590</v>
      </c>
      <c r="C19" s="224">
        <v>164.68333333457122</v>
      </c>
      <c r="D19" s="3">
        <v>67</v>
      </c>
      <c r="E19" s="231">
        <f t="shared" si="0"/>
        <v>2.457960199023451</v>
      </c>
    </row>
    <row r="20" spans="2:10" x14ac:dyDescent="0.3">
      <c r="B20" s="3" t="s">
        <v>592</v>
      </c>
      <c r="C20" s="224">
        <v>17.633333333709743</v>
      </c>
      <c r="D20" s="3">
        <v>5</v>
      </c>
      <c r="E20" s="231">
        <f t="shared" si="0"/>
        <v>3.5266666667419484</v>
      </c>
    </row>
    <row r="21" spans="2:10" x14ac:dyDescent="0.3">
      <c r="B21" s="3">
        <v>2023</v>
      </c>
      <c r="C21" s="224"/>
      <c r="E21" s="231"/>
    </row>
    <row r="22" spans="2:10" x14ac:dyDescent="0.3">
      <c r="B22" s="3" t="s">
        <v>590</v>
      </c>
      <c r="C22" s="224">
        <v>4.8166666666511446</v>
      </c>
      <c r="D22" s="3">
        <v>3</v>
      </c>
      <c r="E22" s="231">
        <f t="shared" si="0"/>
        <v>1.6055555555503815</v>
      </c>
    </row>
    <row r="23" spans="2:10" x14ac:dyDescent="0.3">
      <c r="B23" s="3" t="s">
        <v>592</v>
      </c>
      <c r="C23" s="224">
        <v>21.450000000069849</v>
      </c>
      <c r="D23" s="3">
        <v>3</v>
      </c>
      <c r="E23" s="231">
        <f t="shared" si="0"/>
        <v>7.1500000000232831</v>
      </c>
    </row>
    <row r="24" spans="2:10" x14ac:dyDescent="0.3">
      <c r="B24" s="3" t="s">
        <v>593</v>
      </c>
      <c r="C24" s="224"/>
      <c r="E24" s="231"/>
    </row>
    <row r="25" spans="2:10" x14ac:dyDescent="0.3">
      <c r="B25" s="3" t="s">
        <v>594</v>
      </c>
      <c r="C25" s="224">
        <v>21029.516666668234</v>
      </c>
      <c r="D25" s="3">
        <v>1976</v>
      </c>
      <c r="E25" s="231">
        <f>C25/D25</f>
        <v>10.642467948718743</v>
      </c>
    </row>
    <row r="26" spans="2:10" x14ac:dyDescent="0.3">
      <c r="C26" s="224">
        <f>C25-C17</f>
        <v>6878.7333333349088</v>
      </c>
      <c r="D26" s="3">
        <f>D25-D17</f>
        <v>1945</v>
      </c>
      <c r="E26" s="51">
        <f>C26/D26</f>
        <v>3.5366238217660197</v>
      </c>
      <c r="F26" s="3" t="s">
        <v>595</v>
      </c>
    </row>
    <row r="28" spans="2:10" x14ac:dyDescent="0.3">
      <c r="C28" s="480" t="s">
        <v>596</v>
      </c>
      <c r="D28" s="480"/>
      <c r="E28" s="480"/>
      <c r="I28" s="3" t="s">
        <v>597</v>
      </c>
    </row>
    <row r="29" spans="2:10" ht="45" customHeight="1" x14ac:dyDescent="0.3">
      <c r="C29" s="155" t="s">
        <v>590</v>
      </c>
      <c r="D29" s="155" t="s">
        <v>592</v>
      </c>
      <c r="E29" s="155" t="s">
        <v>591</v>
      </c>
      <c r="F29" s="155" t="s">
        <v>598</v>
      </c>
      <c r="G29" s="155"/>
      <c r="H29" s="155"/>
      <c r="I29" s="155" t="s">
        <v>598</v>
      </c>
      <c r="J29" s="155" t="s">
        <v>599</v>
      </c>
    </row>
    <row r="30" spans="2:10" x14ac:dyDescent="0.3">
      <c r="B30" s="3">
        <v>2020</v>
      </c>
      <c r="C30" s="231">
        <f>C12</f>
        <v>341.06666666624369</v>
      </c>
      <c r="D30" s="231">
        <f>C13</f>
        <v>5077.8666666668141</v>
      </c>
      <c r="E30" s="231">
        <f>C14</f>
        <v>267.36666666698875</v>
      </c>
      <c r="F30" s="3">
        <f>D12+D13+D14</f>
        <v>61</v>
      </c>
      <c r="I30" s="3">
        <v>19</v>
      </c>
      <c r="J30" s="299">
        <v>31.805653717627923</v>
      </c>
    </row>
    <row r="31" spans="2:10" x14ac:dyDescent="0.3">
      <c r="B31" s="3">
        <f>B30+1</f>
        <v>2021</v>
      </c>
      <c r="C31" s="231">
        <f>C16</f>
        <v>490.16666666627862</v>
      </c>
      <c r="D31" s="231">
        <f>C17</f>
        <v>14150.783333333326</v>
      </c>
      <c r="F31" s="3">
        <f>D16+D17</f>
        <v>62</v>
      </c>
      <c r="I31" s="3">
        <v>28</v>
      </c>
      <c r="J31" s="299">
        <v>63.157284580494434</v>
      </c>
    </row>
    <row r="32" spans="2:10" x14ac:dyDescent="0.3">
      <c r="B32" s="3">
        <f>B31+1</f>
        <v>2022</v>
      </c>
      <c r="C32" s="231">
        <f>C19</f>
        <v>164.68333333457122</v>
      </c>
      <c r="D32" s="231">
        <f>C20</f>
        <v>17.633333333709743</v>
      </c>
      <c r="F32" s="3">
        <f>D19+D20</f>
        <v>72</v>
      </c>
      <c r="I32" s="3">
        <v>32</v>
      </c>
      <c r="J32" s="299">
        <v>2.7485243055607498</v>
      </c>
    </row>
    <row r="33" spans="2:10" x14ac:dyDescent="0.3">
      <c r="B33" s="3">
        <f>B32+1</f>
        <v>2023</v>
      </c>
      <c r="C33" s="231">
        <f>C22</f>
        <v>4.8166666666511446</v>
      </c>
      <c r="D33" s="231">
        <f>C23</f>
        <v>21.450000000069849</v>
      </c>
      <c r="F33" s="3">
        <f>D22+D23</f>
        <v>6</v>
      </c>
    </row>
    <row r="34" spans="2:10" x14ac:dyDescent="0.3">
      <c r="C34" s="231">
        <f>AVERAGE(C30:C32)</f>
        <v>331.97222222236451</v>
      </c>
      <c r="D34" s="231"/>
      <c r="E34" s="231"/>
      <c r="F34" s="231"/>
      <c r="I34" s="231">
        <f>AVERAGE(I30:I32)</f>
        <v>26.333333333333332</v>
      </c>
      <c r="J34" s="299">
        <f>AVERAGE(J30:J32)</f>
        <v>32.570487534561032</v>
      </c>
    </row>
    <row r="35" spans="2:10" x14ac:dyDescent="0.3">
      <c r="C35" s="3" t="s">
        <v>600</v>
      </c>
      <c r="J35" s="3" t="s">
        <v>600</v>
      </c>
    </row>
  </sheetData>
  <mergeCells count="1">
    <mergeCell ref="C28:E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0EEA5-BD14-4FCA-A7EF-FA5E8BBC0FAC}">
  <dimension ref="C3:H29"/>
  <sheetViews>
    <sheetView zoomScale="85" zoomScaleNormal="85" workbookViewId="0">
      <selection activeCell="G13" sqref="G13"/>
    </sheetView>
  </sheetViews>
  <sheetFormatPr defaultColWidth="9.109375" defaultRowHeight="14.4" x14ac:dyDescent="0.3"/>
  <cols>
    <col min="1" max="2" width="9.109375" style="3"/>
    <col min="3" max="3" width="24.6640625" style="3" customWidth="1"/>
    <col min="4" max="4" width="23.6640625" style="3" customWidth="1"/>
    <col min="5" max="5" width="49.44140625" style="3" customWidth="1"/>
    <col min="6" max="6" width="40.6640625" style="3" customWidth="1"/>
    <col min="7" max="7" width="16.5546875" style="244" bestFit="1" customWidth="1"/>
    <col min="8" max="16384" width="9.109375" style="3"/>
  </cols>
  <sheetData>
    <row r="3" spans="3:8" ht="28.8" x14ac:dyDescent="0.3">
      <c r="C3" s="315" t="s">
        <v>30</v>
      </c>
      <c r="D3" s="315" t="s">
        <v>31</v>
      </c>
      <c r="E3" s="316" t="s">
        <v>32</v>
      </c>
      <c r="F3" s="317" t="s">
        <v>33</v>
      </c>
      <c r="G3" s="318" t="s">
        <v>34</v>
      </c>
      <c r="H3" s="205"/>
    </row>
    <row r="4" spans="3:8" ht="15" customHeight="1" x14ac:dyDescent="0.3">
      <c r="C4" s="470" t="s">
        <v>35</v>
      </c>
      <c r="D4" s="470" t="s">
        <v>36</v>
      </c>
      <c r="E4" s="24" t="str">
        <f>'BCA-Summary'!B9</f>
        <v>Safety Benefits</v>
      </c>
      <c r="F4" s="24"/>
      <c r="G4" s="24"/>
    </row>
    <row r="5" spans="3:8" ht="15" customHeight="1" x14ac:dyDescent="0.3">
      <c r="C5" s="470"/>
      <c r="D5" s="470"/>
      <c r="E5" s="27" t="str">
        <f>'BCA-Summary'!B10</f>
        <v>Reduced Roadway Fatalities and Crashes</v>
      </c>
      <c r="F5" s="319" t="s">
        <v>37</v>
      </c>
      <c r="G5" s="320">
        <f>'BCA-Summary'!C10</f>
        <v>44.703398386231981</v>
      </c>
    </row>
    <row r="6" spans="3:8" ht="15" customHeight="1" x14ac:dyDescent="0.3">
      <c r="C6" s="470"/>
      <c r="D6" s="470"/>
      <c r="E6" s="27" t="str">
        <f>'BCA-Summary'!B11</f>
        <v>Emergency Services</v>
      </c>
      <c r="F6" s="319" t="s">
        <v>38</v>
      </c>
      <c r="G6" s="320">
        <f>'BCA-Summary'!C11</f>
        <v>11.064581312506295</v>
      </c>
    </row>
    <row r="7" spans="3:8" ht="15" customHeight="1" x14ac:dyDescent="0.3">
      <c r="C7" s="470"/>
      <c r="D7" s="470"/>
      <c r="E7" s="27" t="str">
        <f>'BCA-Summary'!B12</f>
        <v>Wildlife Safety</v>
      </c>
      <c r="F7" s="319" t="s">
        <v>39</v>
      </c>
      <c r="G7" s="320">
        <f>'BCA-Summary'!C12</f>
        <v>1.5164609079107163E-2</v>
      </c>
    </row>
    <row r="8" spans="3:8" ht="15" customHeight="1" x14ac:dyDescent="0.3">
      <c r="C8" s="470"/>
      <c r="D8" s="470"/>
      <c r="E8" s="24"/>
      <c r="F8" s="24"/>
      <c r="G8" s="320"/>
    </row>
    <row r="9" spans="3:8" ht="15" customHeight="1" x14ac:dyDescent="0.3">
      <c r="C9" s="470"/>
      <c r="D9" s="470"/>
      <c r="E9" s="24" t="str">
        <f>'BCA-Summary'!B18</f>
        <v>Economic Impacts, Freight Movement, and Job Creation</v>
      </c>
      <c r="F9" s="319"/>
      <c r="G9" s="320"/>
    </row>
    <row r="10" spans="3:8" ht="15" customHeight="1" x14ac:dyDescent="0.3">
      <c r="C10" s="470"/>
      <c r="D10" s="470"/>
      <c r="E10" s="27" t="str">
        <f>'BCA-Summary'!B19</f>
        <v>Auto Travel Time Savings</v>
      </c>
      <c r="F10" s="319" t="s">
        <v>40</v>
      </c>
      <c r="G10" s="320">
        <f>'BCA-Summary'!C19</f>
        <v>63.900523999999997</v>
      </c>
    </row>
    <row r="11" spans="3:8" ht="15" customHeight="1" x14ac:dyDescent="0.3">
      <c r="C11" s="470"/>
      <c r="D11" s="470"/>
      <c r="E11" s="27" t="str">
        <f>'BCA-Summary'!B20</f>
        <v>Truck Travel Time Savings</v>
      </c>
      <c r="F11" s="27" t="s">
        <v>41</v>
      </c>
      <c r="G11" s="320">
        <f>'BCA-Summary'!C20</f>
        <v>4.2091900000000004</v>
      </c>
    </row>
    <row r="12" spans="3:8" ht="15" customHeight="1" x14ac:dyDescent="0.3">
      <c r="C12" s="470"/>
      <c r="D12" s="470"/>
      <c r="E12" s="27" t="str">
        <f>'BCA-Summary'!B21</f>
        <v>Truck Operating Savings</v>
      </c>
      <c r="F12" s="27" t="s">
        <v>42</v>
      </c>
      <c r="G12" s="320">
        <f>'BCA-Summary'!C21</f>
        <v>7.2714840000000001</v>
      </c>
    </row>
    <row r="13" spans="3:8" ht="15" customHeight="1" x14ac:dyDescent="0.3">
      <c r="C13" s="470"/>
      <c r="D13" s="470"/>
      <c r="E13" s="27" t="str">
        <f>'BCA-Summary'!B22</f>
        <v>Signal Coordination Time Savings</v>
      </c>
      <c r="F13" s="27" t="s">
        <v>43</v>
      </c>
      <c r="G13" s="320">
        <f>'BCA-Summary'!C22</f>
        <v>3.5860460000000001</v>
      </c>
    </row>
    <row r="14" spans="3:8" ht="15" customHeight="1" x14ac:dyDescent="0.3">
      <c r="C14" s="470"/>
      <c r="D14" s="470"/>
      <c r="E14" s="27" t="str">
        <f>'BCA-Summary'!B23</f>
        <v>Maintenance Detour Delays Avoided</v>
      </c>
      <c r="F14" s="319" t="s">
        <v>44</v>
      </c>
      <c r="G14" s="320">
        <f>'BCA-Summary'!C23</f>
        <v>14.321866999999999</v>
      </c>
    </row>
    <row r="15" spans="3:8" ht="15" customHeight="1" x14ac:dyDescent="0.3">
      <c r="C15" s="470"/>
      <c r="D15" s="470"/>
      <c r="E15" s="27" t="str">
        <f>'BCA-Summary'!B24</f>
        <v>DMS/Trailblazers Detour Delays Avoided</v>
      </c>
      <c r="F15" s="319" t="s">
        <v>44</v>
      </c>
      <c r="G15" s="320">
        <f>'BCA-Summary'!C24</f>
        <v>81.906976999999998</v>
      </c>
    </row>
    <row r="16" spans="3:8" ht="15" customHeight="1" x14ac:dyDescent="0.3">
      <c r="C16" s="470"/>
      <c r="D16" s="470"/>
      <c r="E16" s="27" t="str">
        <f>'BCA-Summary'!B25</f>
        <v>Agricultural Market Accessibility Benefit</v>
      </c>
      <c r="F16" s="321" t="s">
        <v>45</v>
      </c>
      <c r="G16" s="320">
        <f>'BCA-Summary'!C25</f>
        <v>35.602005790515705</v>
      </c>
    </row>
    <row r="17" spans="3:7" ht="15" customHeight="1" x14ac:dyDescent="0.3">
      <c r="C17" s="470"/>
      <c r="D17" s="470"/>
      <c r="E17" s="27"/>
      <c r="F17" s="319"/>
      <c r="G17" s="320"/>
    </row>
    <row r="18" spans="3:7" ht="15" customHeight="1" x14ac:dyDescent="0.3">
      <c r="C18" s="470"/>
      <c r="D18" s="470"/>
      <c r="E18" s="24" t="str">
        <f>'BCA-Summary'!B27</f>
        <v>Climate Change, Resiliency, and the Environment</v>
      </c>
      <c r="F18" s="319"/>
      <c r="G18" s="320"/>
    </row>
    <row r="19" spans="3:7" ht="15" customHeight="1" x14ac:dyDescent="0.3">
      <c r="C19" s="470"/>
      <c r="D19" s="470"/>
      <c r="E19" s="27" t="str">
        <f>'BCA-Summary'!B28</f>
        <v>Emission Savings</v>
      </c>
      <c r="F19" s="319" t="s">
        <v>38</v>
      </c>
      <c r="G19" s="320">
        <f>'BCA-Summary'!C28</f>
        <v>2.4103789999999998</v>
      </c>
    </row>
    <row r="20" spans="3:7" ht="15" customHeight="1" x14ac:dyDescent="0.3">
      <c r="C20" s="470"/>
      <c r="D20" s="470"/>
      <c r="E20" s="27"/>
      <c r="F20" s="171"/>
      <c r="G20" s="320"/>
    </row>
    <row r="21" spans="3:7" ht="15" customHeight="1" x14ac:dyDescent="0.3">
      <c r="C21" s="470"/>
      <c r="D21" s="470"/>
      <c r="E21" s="24" t="str">
        <f>'BCA-Summary'!B30</f>
        <v>Equity, Multimodal Options, and Quality of Life</v>
      </c>
      <c r="G21" s="320"/>
    </row>
    <row r="22" spans="3:7" ht="15" customHeight="1" x14ac:dyDescent="0.3">
      <c r="C22" s="470"/>
      <c r="D22" s="470"/>
      <c r="E22" s="27" t="str">
        <f>'BCA-Summary'!B31</f>
        <v>Paratransit Travel Time Savings</v>
      </c>
      <c r="F22" s="171" t="s">
        <v>46</v>
      </c>
      <c r="G22" s="320">
        <f>'BCA-Summary'!C31</f>
        <v>0.44411600000000001</v>
      </c>
    </row>
    <row r="23" spans="3:7" x14ac:dyDescent="0.3">
      <c r="C23" s="470"/>
      <c r="D23" s="470"/>
      <c r="E23" s="27"/>
      <c r="F23" s="171"/>
      <c r="G23" s="320"/>
    </row>
    <row r="24" spans="3:7" ht="28.8" x14ac:dyDescent="0.3">
      <c r="C24" s="470"/>
      <c r="D24" s="470"/>
      <c r="E24" s="24" t="str">
        <f>'BCA-Summary'!B33</f>
        <v>Innovation Areas: Technology, Project Delivery, and Financing</v>
      </c>
      <c r="F24" s="171"/>
      <c r="G24" s="320"/>
    </row>
    <row r="25" spans="3:7" x14ac:dyDescent="0.3">
      <c r="C25" s="470"/>
      <c r="D25" s="470"/>
      <c r="E25" s="27" t="str">
        <f>'BCA-Summary'!B34</f>
        <v>Resident and Visitor Recreation</v>
      </c>
      <c r="F25" s="171" t="s">
        <v>47</v>
      </c>
      <c r="G25" s="320">
        <f>'BCA-Summary'!C34</f>
        <v>0.186553</v>
      </c>
    </row>
    <row r="26" spans="3:7" x14ac:dyDescent="0.3">
      <c r="C26" s="470"/>
      <c r="D26" s="470"/>
      <c r="E26" s="27"/>
      <c r="F26" s="171"/>
      <c r="G26" s="322"/>
    </row>
    <row r="27" spans="3:7" x14ac:dyDescent="0.3">
      <c r="C27" s="470"/>
      <c r="D27" s="470"/>
      <c r="E27" s="24" t="str">
        <f>'BCA-Summary'!B14</f>
        <v>State of Good Repair</v>
      </c>
      <c r="F27" s="319"/>
      <c r="G27" s="320"/>
    </row>
    <row r="28" spans="3:7" x14ac:dyDescent="0.3">
      <c r="C28" s="470"/>
      <c r="D28" s="470"/>
      <c r="E28" s="27" t="str">
        <f>'BCA-Summary'!B15</f>
        <v>Net Operating &amp; Maintenance Cost Savings</v>
      </c>
      <c r="F28" s="319" t="s">
        <v>48</v>
      </c>
      <c r="G28" s="320">
        <f>'BCA-Summary'!C15</f>
        <v>8.8063959999999994</v>
      </c>
    </row>
    <row r="29" spans="3:7" x14ac:dyDescent="0.3">
      <c r="C29" s="470"/>
      <c r="D29" s="470"/>
      <c r="E29" s="27" t="str">
        <f>'BCA-Summary'!B16</f>
        <v>Residual Value</v>
      </c>
      <c r="F29" s="319" t="s">
        <v>48</v>
      </c>
      <c r="G29" s="320">
        <f>'BCA-Summary'!C16</f>
        <v>23.757609148189292</v>
      </c>
    </row>
  </sheetData>
  <mergeCells count="2">
    <mergeCell ref="C4:C29"/>
    <mergeCell ref="D4:D2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53DE4-FA8E-4219-99B5-8DAED425C5D3}">
  <sheetPr>
    <tabColor rgb="FFCDE0FF"/>
  </sheetPr>
  <dimension ref="A1:Z60"/>
  <sheetViews>
    <sheetView topLeftCell="A4" zoomScaleNormal="100" workbookViewId="0">
      <selection activeCell="F10" sqref="F10"/>
    </sheetView>
  </sheetViews>
  <sheetFormatPr defaultColWidth="9.33203125" defaultRowHeight="14.4" x14ac:dyDescent="0.3"/>
  <cols>
    <col min="1" max="1" width="17.44140625" style="3" customWidth="1"/>
    <col min="2" max="2" width="29.33203125" style="3" bestFit="1" customWidth="1"/>
    <col min="3" max="3" width="14.44140625" style="3" customWidth="1"/>
    <col min="4" max="4" width="12.5546875" style="3" customWidth="1"/>
    <col min="5" max="5" width="13" style="3" bestFit="1" customWidth="1"/>
    <col min="6" max="7" width="13" style="3" customWidth="1"/>
    <col min="8" max="8" width="18.6640625" style="3" customWidth="1"/>
    <col min="9" max="10" width="13" style="3" customWidth="1"/>
    <col min="11" max="12" width="18.6640625" style="3" customWidth="1"/>
    <col min="13" max="13" width="13" style="3" customWidth="1"/>
    <col min="14" max="15" width="14.6640625" style="3" bestFit="1" customWidth="1"/>
    <col min="16" max="26" width="9.33203125" style="3" bestFit="1" customWidth="1"/>
    <col min="27" max="16384" width="9.33203125" style="3"/>
  </cols>
  <sheetData>
    <row r="1" spans="1:26" x14ac:dyDescent="0.3">
      <c r="B1" s="3" t="s">
        <v>601</v>
      </c>
    </row>
    <row r="2" spans="1:26" ht="15.6" customHeight="1" x14ac:dyDescent="0.3">
      <c r="B2" s="3">
        <v>2021</v>
      </c>
      <c r="C2" s="5"/>
      <c r="D2" s="3" t="s">
        <v>239</v>
      </c>
      <c r="H2" s="440"/>
    </row>
    <row r="3" spans="1:26" x14ac:dyDescent="0.3">
      <c r="A3" s="150" t="s">
        <v>602</v>
      </c>
      <c r="B3" s="230">
        <f>AVERAGE(8500,5700,3200,3100)</f>
        <v>5125</v>
      </c>
      <c r="C3" s="53"/>
      <c r="D3" s="202">
        <f>Inputs!B14</f>
        <v>0.06</v>
      </c>
    </row>
    <row r="4" spans="1:26" ht="15" customHeight="1" x14ac:dyDescent="0.3">
      <c r="B4" s="3" t="s">
        <v>603</v>
      </c>
      <c r="E4" s="300" t="s">
        <v>604</v>
      </c>
    </row>
    <row r="5" spans="1:26" ht="15" customHeight="1" x14ac:dyDescent="0.3">
      <c r="B5" s="301">
        <f>((C33/C8)^(1/(B33-B8)))-1</f>
        <v>3.1744892994098661E-2</v>
      </c>
      <c r="C5" s="3" t="s">
        <v>295</v>
      </c>
    </row>
    <row r="6" spans="1:26" ht="15" customHeight="1" x14ac:dyDescent="0.3">
      <c r="W6" s="480"/>
      <c r="X6" s="480"/>
    </row>
    <row r="7" spans="1:26" ht="15" customHeight="1" x14ac:dyDescent="0.3">
      <c r="B7" s="167"/>
      <c r="C7" s="167" t="s">
        <v>605</v>
      </c>
      <c r="D7" s="167" t="s">
        <v>239</v>
      </c>
      <c r="E7" s="167" t="s">
        <v>606</v>
      </c>
      <c r="G7" s="167"/>
      <c r="H7" s="167" t="s">
        <v>272</v>
      </c>
      <c r="I7" s="207"/>
      <c r="J7" s="167"/>
      <c r="K7" s="167" t="s">
        <v>607</v>
      </c>
      <c r="L7" s="207"/>
    </row>
    <row r="8" spans="1:26" ht="15" customHeight="1" x14ac:dyDescent="0.3">
      <c r="B8" s="221">
        <v>2021</v>
      </c>
      <c r="C8" s="302">
        <f>B3</f>
        <v>5125</v>
      </c>
      <c r="D8" s="240">
        <f t="shared" ref="D8:D48" si="0">SUM(C8*$D$3)</f>
        <v>307.5</v>
      </c>
      <c r="E8" s="210">
        <f>SUM(C8-D8)</f>
        <v>4817.5</v>
      </c>
      <c r="G8" s="221">
        <v>2021</v>
      </c>
      <c r="H8" s="303">
        <v>8500</v>
      </c>
      <c r="I8" s="304"/>
      <c r="J8" s="221">
        <v>2021</v>
      </c>
      <c r="K8" s="303">
        <f>A60</f>
        <v>4673.75</v>
      </c>
      <c r="L8" s="304"/>
    </row>
    <row r="9" spans="1:26" ht="15" customHeight="1" x14ac:dyDescent="0.3">
      <c r="B9" s="171">
        <f>B8+1</f>
        <v>2022</v>
      </c>
      <c r="C9" s="210">
        <f t="shared" ref="C9:C48" si="1">C8*(1+$B$5)</f>
        <v>5287.6925765947553</v>
      </c>
      <c r="D9" s="240">
        <f t="shared" si="0"/>
        <v>317.26155459568531</v>
      </c>
      <c r="E9" s="210">
        <f>SUM(C9-D9)</f>
        <v>4970.4310219990703</v>
      </c>
      <c r="G9" s="171">
        <f>G8+1</f>
        <v>2022</v>
      </c>
      <c r="H9" s="210">
        <f t="shared" ref="H9:H48" si="2">H8*(1+$B$5)</f>
        <v>8769.8315904498395</v>
      </c>
      <c r="I9" s="305"/>
      <c r="J9" s="171">
        <f>J8+1</f>
        <v>2022</v>
      </c>
      <c r="K9" s="210">
        <f>K8*(1+$B$5)</f>
        <v>4822.1176936311685</v>
      </c>
      <c r="L9" s="305"/>
    </row>
    <row r="10" spans="1:26" ht="15" customHeight="1" x14ac:dyDescent="0.3">
      <c r="B10" s="171">
        <f>B9+1</f>
        <v>2023</v>
      </c>
      <c r="C10" s="210">
        <f t="shared" si="1"/>
        <v>5455.5498116244453</v>
      </c>
      <c r="D10" s="240">
        <f t="shared" si="0"/>
        <v>327.3329886974667</v>
      </c>
      <c r="E10" s="210">
        <f t="shared" ref="E10:E48" si="3">SUM(C10-D10)</f>
        <v>5128.2168229269782</v>
      </c>
      <c r="G10" s="171">
        <f>G9+1</f>
        <v>2023</v>
      </c>
      <c r="H10" s="210">
        <f t="shared" si="2"/>
        <v>9048.2289558649354</v>
      </c>
      <c r="I10" s="305"/>
      <c r="J10" s="171">
        <f>J9+1</f>
        <v>2023</v>
      </c>
      <c r="K10" s="210">
        <f t="shared" ref="K10:K48" si="4">K9*(1+$B$5)</f>
        <v>4975.1953038204401</v>
      </c>
      <c r="L10" s="305"/>
    </row>
    <row r="11" spans="1:26" ht="15" customHeight="1" x14ac:dyDescent="0.3">
      <c r="B11" s="171">
        <f t="shared" ref="B11:B12" si="5">B10+1</f>
        <v>2024</v>
      </c>
      <c r="C11" s="210">
        <f t="shared" si="1"/>
        <v>5628.735656618438</v>
      </c>
      <c r="D11" s="240">
        <f t="shared" si="0"/>
        <v>337.72413939710628</v>
      </c>
      <c r="E11" s="210">
        <f t="shared" si="3"/>
        <v>5291.0115172213318</v>
      </c>
      <c r="G11" s="171">
        <f>G10+1</f>
        <v>2024</v>
      </c>
      <c r="H11" s="210">
        <f t="shared" si="2"/>
        <v>9335.4640158549737</v>
      </c>
      <c r="I11" s="305"/>
      <c r="J11" s="171">
        <f>J10+1</f>
        <v>2024</v>
      </c>
      <c r="K11" s="210">
        <f t="shared" si="4"/>
        <v>5133.1323463649624</v>
      </c>
      <c r="L11" s="305"/>
      <c r="Z11" s="481"/>
    </row>
    <row r="12" spans="1:26" ht="15" customHeight="1" x14ac:dyDescent="0.3">
      <c r="B12" s="171">
        <f t="shared" si="5"/>
        <v>2025</v>
      </c>
      <c r="C12" s="210">
        <f t="shared" si="1"/>
        <v>5807.4192677298579</v>
      </c>
      <c r="D12" s="240">
        <f t="shared" si="0"/>
        <v>348.44515606379144</v>
      </c>
      <c r="E12" s="210">
        <f t="shared" si="3"/>
        <v>5458.9741116660662</v>
      </c>
      <c r="G12" s="171">
        <f>G11+1</f>
        <v>2025</v>
      </c>
      <c r="H12" s="210">
        <f t="shared" si="2"/>
        <v>9631.8173220885492</v>
      </c>
      <c r="I12" s="305"/>
      <c r="J12" s="171">
        <f>J11+1</f>
        <v>2025</v>
      </c>
      <c r="K12" s="210">
        <f t="shared" si="4"/>
        <v>5296.0830834248645</v>
      </c>
      <c r="L12" s="305"/>
      <c r="Z12" s="481"/>
    </row>
    <row r="13" spans="1:26" ht="15" customHeight="1" x14ac:dyDescent="0.3">
      <c r="B13" s="171">
        <v>2025</v>
      </c>
      <c r="C13" s="210">
        <f t="shared" si="1"/>
        <v>5991.7751709558088</v>
      </c>
      <c r="D13" s="240">
        <f t="shared" si="0"/>
        <v>359.50651025734851</v>
      </c>
      <c r="E13" s="210">
        <f t="shared" si="3"/>
        <v>5632.2686606984607</v>
      </c>
      <c r="G13" s="171">
        <v>2025</v>
      </c>
      <c r="H13" s="210">
        <f t="shared" si="2"/>
        <v>9937.5783323169562</v>
      </c>
      <c r="I13" s="305"/>
      <c r="J13" s="171">
        <v>2025</v>
      </c>
      <c r="K13" s="210">
        <f t="shared" si="4"/>
        <v>5464.2066741960425</v>
      </c>
      <c r="L13" s="305"/>
    </row>
    <row r="14" spans="1:26" ht="15" customHeight="1" x14ac:dyDescent="0.3">
      <c r="B14" s="171">
        <f>B13+1</f>
        <v>2026</v>
      </c>
      <c r="C14" s="210">
        <f t="shared" si="1"/>
        <v>6181.9834326024984</v>
      </c>
      <c r="D14" s="240">
        <f t="shared" si="0"/>
        <v>370.91900595614987</v>
      </c>
      <c r="E14" s="210">
        <f t="shared" si="3"/>
        <v>5811.0644266463487</v>
      </c>
      <c r="G14" s="171">
        <f>G13+1</f>
        <v>2026</v>
      </c>
      <c r="H14" s="210">
        <f t="shared" si="2"/>
        <v>10253.045693096832</v>
      </c>
      <c r="I14" s="305"/>
      <c r="J14" s="171">
        <f>J13+1</f>
        <v>2026</v>
      </c>
      <c r="K14" s="210">
        <f t="shared" si="4"/>
        <v>5637.6673303660355</v>
      </c>
      <c r="L14" s="305"/>
    </row>
    <row r="15" spans="1:26" ht="15" customHeight="1" x14ac:dyDescent="0.3">
      <c r="B15" s="171">
        <f>B14+1</f>
        <v>2027</v>
      </c>
      <c r="C15" s="210">
        <f t="shared" si="1"/>
        <v>6378.2298351617555</v>
      </c>
      <c r="D15" s="240">
        <f t="shared" si="0"/>
        <v>382.69379010970533</v>
      </c>
      <c r="E15" s="210">
        <f t="shared" si="3"/>
        <v>5995.5360450520502</v>
      </c>
      <c r="G15" s="171">
        <f>G14+1</f>
        <v>2027</v>
      </c>
      <c r="H15" s="210">
        <f t="shared" si="2"/>
        <v>10578.527531487794</v>
      </c>
      <c r="I15" s="305"/>
      <c r="J15" s="171">
        <f>J14+1</f>
        <v>2027</v>
      </c>
      <c r="K15" s="210">
        <f t="shared" si="4"/>
        <v>5816.6344765048307</v>
      </c>
      <c r="L15" s="305"/>
    </row>
    <row r="16" spans="1:26" ht="15" customHeight="1" x14ac:dyDescent="0.3">
      <c r="B16" s="171">
        <f t="shared" ref="B16:B17" si="6">B15+1</f>
        <v>2028</v>
      </c>
      <c r="C16" s="210">
        <f t="shared" si="1"/>
        <v>6580.7060587707329</v>
      </c>
      <c r="D16" s="240">
        <f t="shared" si="0"/>
        <v>394.84236352624396</v>
      </c>
      <c r="E16" s="210">
        <f t="shared" si="3"/>
        <v>6185.8636952444886</v>
      </c>
      <c r="G16" s="171">
        <f>G15+1</f>
        <v>2028</v>
      </c>
      <c r="H16" s="210">
        <f t="shared" si="2"/>
        <v>10914.341756010001</v>
      </c>
      <c r="I16" s="305"/>
      <c r="J16" s="171">
        <f>J15+1</f>
        <v>2028</v>
      </c>
      <c r="K16" s="210">
        <f t="shared" si="4"/>
        <v>6001.2829155472618</v>
      </c>
      <c r="L16" s="305"/>
    </row>
    <row r="17" spans="2:12" ht="15" customHeight="1" x14ac:dyDescent="0.3">
      <c r="B17" s="171">
        <f t="shared" si="6"/>
        <v>2029</v>
      </c>
      <c r="C17" s="210">
        <f t="shared" si="1"/>
        <v>6789.6098684320268</v>
      </c>
      <c r="D17" s="240">
        <f t="shared" si="0"/>
        <v>407.37659210592159</v>
      </c>
      <c r="E17" s="210">
        <f t="shared" si="3"/>
        <v>6382.2332763261056</v>
      </c>
      <c r="G17" s="171">
        <f>G16+1</f>
        <v>2029</v>
      </c>
      <c r="H17" s="210">
        <f t="shared" si="2"/>
        <v>11260.816367155561</v>
      </c>
      <c r="I17" s="305"/>
      <c r="J17" s="171">
        <f>J16+1</f>
        <v>2029</v>
      </c>
      <c r="K17" s="210">
        <f t="shared" si="4"/>
        <v>6191.7929995286222</v>
      </c>
      <c r="L17" s="305"/>
    </row>
    <row r="18" spans="2:12" ht="15" customHeight="1" x14ac:dyDescent="0.3">
      <c r="B18" s="171">
        <v>2030</v>
      </c>
      <c r="C18" s="210">
        <f t="shared" si="1"/>
        <v>7005.1453071770775</v>
      </c>
      <c r="D18" s="240">
        <f t="shared" si="0"/>
        <v>420.30871843062465</v>
      </c>
      <c r="E18" s="210">
        <f t="shared" si="3"/>
        <v>6584.8365887464524</v>
      </c>
      <c r="G18" s="171">
        <v>2030</v>
      </c>
      <c r="H18" s="210">
        <f t="shared" si="2"/>
        <v>11618.289777757109</v>
      </c>
      <c r="I18" s="305"/>
      <c r="J18" s="171">
        <v>2030</v>
      </c>
      <c r="K18" s="210">
        <f t="shared" si="4"/>
        <v>6388.3508057402678</v>
      </c>
      <c r="L18" s="305"/>
    </row>
    <row r="19" spans="2:12" ht="15" customHeight="1" x14ac:dyDescent="0.3">
      <c r="B19" s="171">
        <f>B18+1</f>
        <v>2031</v>
      </c>
      <c r="C19" s="210">
        <f t="shared" si="1"/>
        <v>7227.522895361526</v>
      </c>
      <c r="D19" s="240">
        <f t="shared" si="0"/>
        <v>433.65137372169153</v>
      </c>
      <c r="E19" s="210">
        <f t="shared" si="3"/>
        <v>6793.8715216398341</v>
      </c>
      <c r="G19" s="171">
        <f>G18+1</f>
        <v>2031</v>
      </c>
      <c r="H19" s="210">
        <f t="shared" si="2"/>
        <v>11987.111143526439</v>
      </c>
      <c r="I19" s="305"/>
      <c r="J19" s="171">
        <f>J18+1</f>
        <v>2031</v>
      </c>
      <c r="K19" s="210">
        <f t="shared" si="4"/>
        <v>6591.1483184772569</v>
      </c>
      <c r="L19" s="305"/>
    </row>
    <row r="20" spans="2:12" ht="15" customHeight="1" x14ac:dyDescent="0.3">
      <c r="B20" s="171">
        <f>B19+1</f>
        <v>2032</v>
      </c>
      <c r="C20" s="210">
        <f t="shared" si="1"/>
        <v>7456.9598362871757</v>
      </c>
      <c r="D20" s="240">
        <f t="shared" si="0"/>
        <v>447.41759017723052</v>
      </c>
      <c r="E20" s="210">
        <f t="shared" si="3"/>
        <v>7009.5422461099452</v>
      </c>
      <c r="G20" s="171">
        <f>G19+1</f>
        <v>2032</v>
      </c>
      <c r="H20" s="210">
        <f t="shared" si="2"/>
        <v>12367.640704086054</v>
      </c>
      <c r="I20" s="305"/>
      <c r="J20" s="171">
        <f>J19+1</f>
        <v>2032</v>
      </c>
      <c r="K20" s="210">
        <f t="shared" si="4"/>
        <v>6800.3836165555504</v>
      </c>
      <c r="L20" s="305"/>
    </row>
    <row r="21" spans="2:12" ht="15" customHeight="1" x14ac:dyDescent="0.3">
      <c r="B21" s="171">
        <f t="shared" ref="B21:B22" si="7">B20+1</f>
        <v>2033</v>
      </c>
      <c r="C21" s="210">
        <f t="shared" si="1"/>
        <v>7693.6802283514035</v>
      </c>
      <c r="D21" s="240">
        <f t="shared" si="0"/>
        <v>461.62081370108422</v>
      </c>
      <c r="E21" s="210">
        <f t="shared" si="3"/>
        <v>7232.059414650319</v>
      </c>
      <c r="G21" s="171">
        <f>G20+1</f>
        <v>2033</v>
      </c>
      <c r="H21" s="210">
        <f t="shared" si="2"/>
        <v>12760.250134826725</v>
      </c>
      <c r="I21" s="305"/>
      <c r="J21" s="171">
        <f>J20+1</f>
        <v>2033</v>
      </c>
      <c r="K21" s="210">
        <f t="shared" si="4"/>
        <v>7016.2610667819281</v>
      </c>
      <c r="L21" s="305"/>
    </row>
    <row r="22" spans="2:12" ht="15" customHeight="1" x14ac:dyDescent="0.3">
      <c r="B22" s="171">
        <f t="shared" si="7"/>
        <v>2034</v>
      </c>
      <c r="C22" s="210">
        <f t="shared" si="1"/>
        <v>7937.915283931231</v>
      </c>
      <c r="D22" s="240">
        <f t="shared" si="0"/>
        <v>476.27491703587384</v>
      </c>
      <c r="E22" s="210">
        <f t="shared" si="3"/>
        <v>7461.6403668953571</v>
      </c>
      <c r="G22" s="171">
        <f>G21+1</f>
        <v>2034</v>
      </c>
      <c r="H22" s="210">
        <f t="shared" si="2"/>
        <v>13165.322909934732</v>
      </c>
      <c r="I22" s="305"/>
      <c r="J22" s="171">
        <f>J21+1</f>
        <v>2034</v>
      </c>
      <c r="K22" s="210">
        <f t="shared" si="4"/>
        <v>7238.9915235655808</v>
      </c>
      <c r="L22" s="305"/>
    </row>
    <row r="23" spans="2:12" ht="15" customHeight="1" x14ac:dyDescent="0.3">
      <c r="B23" s="171">
        <v>2035</v>
      </c>
      <c r="C23" s="210">
        <f t="shared" si="1"/>
        <v>8189.9035552158484</v>
      </c>
      <c r="D23" s="240">
        <f t="shared" si="0"/>
        <v>491.39421331295091</v>
      </c>
      <c r="E23" s="210">
        <f t="shared" si="3"/>
        <v>7698.5093419028972</v>
      </c>
      <c r="G23" s="171">
        <v>2035</v>
      </c>
      <c r="H23" s="210">
        <f t="shared" si="2"/>
        <v>13583.254676943365</v>
      </c>
      <c r="I23" s="305"/>
      <c r="J23" s="171">
        <v>2035</v>
      </c>
      <c r="K23" s="210">
        <f t="shared" si="4"/>
        <v>7468.7925348663575</v>
      </c>
      <c r="L23" s="305"/>
    </row>
    <row r="24" spans="2:12" ht="15" customHeight="1" x14ac:dyDescent="0.3">
      <c r="B24" s="171">
        <f>B23+1</f>
        <v>2036</v>
      </c>
      <c r="C24" s="210">
        <f t="shared" si="1"/>
        <v>8449.8911672081631</v>
      </c>
      <c r="D24" s="240">
        <f t="shared" si="0"/>
        <v>506.99347003248977</v>
      </c>
      <c r="E24" s="210">
        <f t="shared" si="3"/>
        <v>7942.8976971756729</v>
      </c>
      <c r="G24" s="171">
        <f>G23+1</f>
        <v>2036</v>
      </c>
      <c r="H24" s="210">
        <f t="shared" si="2"/>
        <v>14014.453643174522</v>
      </c>
      <c r="I24" s="305"/>
      <c r="J24" s="171">
        <f>J23+1</f>
        <v>2036</v>
      </c>
      <c r="K24" s="210">
        <f t="shared" si="4"/>
        <v>7705.8885546808133</v>
      </c>
      <c r="L24" s="305"/>
    </row>
    <row r="25" spans="2:12" ht="15" customHeight="1" x14ac:dyDescent="0.3">
      <c r="B25" s="171">
        <f>B24+1</f>
        <v>2037</v>
      </c>
      <c r="C25" s="210">
        <f t="shared" si="1"/>
        <v>8718.1320581229666</v>
      </c>
      <c r="D25" s="240">
        <f t="shared" si="0"/>
        <v>523.08792348737802</v>
      </c>
      <c r="E25" s="210">
        <f t="shared" si="3"/>
        <v>8195.0441346355892</v>
      </c>
      <c r="G25" s="171">
        <f>G24+1</f>
        <v>2037</v>
      </c>
      <c r="H25" s="210">
        <f t="shared" si="2"/>
        <v>14459.340974447854</v>
      </c>
      <c r="I25" s="305"/>
      <c r="J25" s="171">
        <f>J24+1</f>
        <v>2037</v>
      </c>
      <c r="K25" s="210">
        <f t="shared" si="4"/>
        <v>7950.5111622736049</v>
      </c>
      <c r="L25" s="305"/>
    </row>
    <row r="26" spans="2:12" ht="15" customHeight="1" x14ac:dyDescent="0.3">
      <c r="B26" s="171">
        <f t="shared" ref="B26:B27" si="8">B25+1</f>
        <v>2038</v>
      </c>
      <c r="C26" s="210">
        <f t="shared" si="1"/>
        <v>8994.8882274165007</v>
      </c>
      <c r="D26" s="240">
        <f t="shared" si="0"/>
        <v>539.69329364499004</v>
      </c>
      <c r="E26" s="210">
        <f t="shared" si="3"/>
        <v>8455.1949337715105</v>
      </c>
      <c r="G26" s="171">
        <f>G25+1</f>
        <v>2038</v>
      </c>
      <c r="H26" s="210">
        <f t="shared" si="2"/>
        <v>14918.351206446887</v>
      </c>
      <c r="I26" s="305"/>
      <c r="J26" s="171">
        <f>J25+1</f>
        <v>2038</v>
      </c>
      <c r="K26" s="210">
        <f t="shared" si="4"/>
        <v>8202.8992883683677</v>
      </c>
      <c r="L26" s="305"/>
    </row>
    <row r="27" spans="2:12" ht="15" customHeight="1" x14ac:dyDescent="0.3">
      <c r="B27" s="171">
        <f t="shared" si="8"/>
        <v>2039</v>
      </c>
      <c r="C27" s="210">
        <f t="shared" si="1"/>
        <v>9280.4299916897162</v>
      </c>
      <c r="D27" s="240">
        <f t="shared" si="0"/>
        <v>556.8257995013829</v>
      </c>
      <c r="E27" s="210">
        <f t="shared" si="3"/>
        <v>8723.6041921883334</v>
      </c>
      <c r="G27" s="171">
        <f>G26+1</f>
        <v>2039</v>
      </c>
      <c r="H27" s="210">
        <f t="shared" si="2"/>
        <v>15391.932669143926</v>
      </c>
      <c r="I27" s="305"/>
      <c r="J27" s="171">
        <f>J26+1</f>
        <v>2039</v>
      </c>
      <c r="K27" s="210">
        <f t="shared" si="4"/>
        <v>8463.2994485189902</v>
      </c>
      <c r="L27" s="305"/>
    </row>
    <row r="28" spans="2:12" ht="15" customHeight="1" x14ac:dyDescent="0.3">
      <c r="B28" s="171">
        <v>2040</v>
      </c>
      <c r="C28" s="210">
        <f t="shared" si="1"/>
        <v>9575.0362487151306</v>
      </c>
      <c r="D28" s="240">
        <f t="shared" si="0"/>
        <v>574.50217492290778</v>
      </c>
      <c r="E28" s="210">
        <f t="shared" si="3"/>
        <v>9000.5340737922234</v>
      </c>
      <c r="G28" s="171">
        <v>2040</v>
      </c>
      <c r="H28" s="210">
        <f t="shared" si="2"/>
        <v>15880.54792469827</v>
      </c>
      <c r="I28" s="305"/>
      <c r="J28" s="171">
        <v>2040</v>
      </c>
      <c r="K28" s="210">
        <f t="shared" si="4"/>
        <v>8731.9659838892403</v>
      </c>
      <c r="L28" s="305"/>
    </row>
    <row r="29" spans="2:12" ht="15" customHeight="1" x14ac:dyDescent="0.3">
      <c r="B29" s="171">
        <f>B28+1</f>
        <v>2041</v>
      </c>
      <c r="C29" s="210">
        <f t="shared" si="1"/>
        <v>9878.9947498452075</v>
      </c>
      <c r="D29" s="240">
        <f t="shared" si="0"/>
        <v>592.73968499071248</v>
      </c>
      <c r="E29" s="210">
        <f t="shared" si="3"/>
        <v>9286.2550648544948</v>
      </c>
      <c r="G29" s="171">
        <f>G28+1</f>
        <v>2041</v>
      </c>
      <c r="H29" s="210">
        <f t="shared" si="2"/>
        <v>16384.674219255474</v>
      </c>
      <c r="I29" s="305"/>
      <c r="J29" s="171">
        <f>J28+1</f>
        <v>2041</v>
      </c>
      <c r="K29" s="210">
        <f t="shared" si="4"/>
        <v>9009.1613096759138</v>
      </c>
      <c r="L29" s="305"/>
    </row>
    <row r="30" spans="2:12" ht="15" customHeight="1" x14ac:dyDescent="0.3">
      <c r="B30" s="171">
        <f>B29+1</f>
        <v>2042</v>
      </c>
      <c r="C30" s="210">
        <f t="shared" si="1"/>
        <v>10192.602381068305</v>
      </c>
      <c r="D30" s="240">
        <f t="shared" si="0"/>
        <v>611.55614286409832</v>
      </c>
      <c r="E30" s="210">
        <f t="shared" si="3"/>
        <v>9581.0462382042078</v>
      </c>
      <c r="G30" s="171">
        <f>G29+1</f>
        <v>2042</v>
      </c>
      <c r="H30" s="210">
        <f t="shared" si="2"/>
        <v>16904.803949088906</v>
      </c>
      <c r="I30" s="305"/>
      <c r="J30" s="171">
        <f>J29+1</f>
        <v>2042</v>
      </c>
      <c r="K30" s="210">
        <f t="shared" si="4"/>
        <v>9295.1561714181498</v>
      </c>
      <c r="L30" s="305"/>
    </row>
    <row r="31" spans="2:12" ht="15" customHeight="1" x14ac:dyDescent="0.3">
      <c r="B31" s="171">
        <f t="shared" ref="B31:B33" si="9">B30+1</f>
        <v>2043</v>
      </c>
      <c r="C31" s="210">
        <f t="shared" si="1"/>
        <v>10516.165452986714</v>
      </c>
      <c r="D31" s="240">
        <f t="shared" si="0"/>
        <v>630.96992717920284</v>
      </c>
      <c r="E31" s="210">
        <f t="shared" si="3"/>
        <v>9885.1955258075104</v>
      </c>
      <c r="G31" s="171">
        <f>G30+1</f>
        <v>2043</v>
      </c>
      <c r="H31" s="210">
        <f t="shared" si="2"/>
        <v>17441.445141538949</v>
      </c>
      <c r="I31" s="305"/>
      <c r="J31" s="171">
        <f>J30+1</f>
        <v>2043</v>
      </c>
      <c r="K31" s="210">
        <f t="shared" si="4"/>
        <v>9590.2299094432547</v>
      </c>
      <c r="L31" s="305"/>
    </row>
    <row r="32" spans="2:12" ht="15" customHeight="1" x14ac:dyDescent="0.3">
      <c r="B32" s="171">
        <f t="shared" si="9"/>
        <v>2044</v>
      </c>
      <c r="C32" s="210">
        <f t="shared" si="1"/>
        <v>10850.000000000015</v>
      </c>
      <c r="D32" s="240">
        <f t="shared" si="0"/>
        <v>651.0000000000008</v>
      </c>
      <c r="E32" s="210">
        <f t="shared" si="3"/>
        <v>10199.000000000015</v>
      </c>
      <c r="G32" s="171">
        <f>G31+1</f>
        <v>2044</v>
      </c>
      <c r="H32" s="210">
        <f t="shared" si="2"/>
        <v>17995.121951219546</v>
      </c>
      <c r="I32" s="305"/>
      <c r="J32" s="171">
        <f>J31+1</f>
        <v>2044</v>
      </c>
      <c r="K32" s="210">
        <f t="shared" si="4"/>
        <v>9894.670731707336</v>
      </c>
      <c r="L32" s="305"/>
    </row>
    <row r="33" spans="2:12" ht="15" customHeight="1" x14ac:dyDescent="0.3">
      <c r="B33" s="171">
        <f t="shared" si="9"/>
        <v>2045</v>
      </c>
      <c r="C33" s="3">
        <f>AVERAGE(12900,8800)</f>
        <v>10850</v>
      </c>
      <c r="D33" s="240">
        <f t="shared" ref="D33" si="10">SUM(C33*$D$3)</f>
        <v>651</v>
      </c>
      <c r="E33" s="210">
        <f t="shared" ref="E33" si="11">SUM(C33-D33)</f>
        <v>10199</v>
      </c>
      <c r="G33" s="171">
        <f>G32+1</f>
        <v>2045</v>
      </c>
      <c r="H33" s="210">
        <f t="shared" si="2"/>
        <v>18566.375171976768</v>
      </c>
      <c r="I33" s="305"/>
      <c r="J33" s="171">
        <f>J32+1</f>
        <v>2045</v>
      </c>
      <c r="K33" s="210">
        <f t="shared" si="4"/>
        <v>10208.775995297225</v>
      </c>
      <c r="L33" s="305"/>
    </row>
    <row r="34" spans="2:12" ht="15" customHeight="1" x14ac:dyDescent="0.3">
      <c r="B34" s="171">
        <v>2046</v>
      </c>
      <c r="C34" s="210">
        <f t="shared" si="1"/>
        <v>11194.43208898597</v>
      </c>
      <c r="D34" s="240">
        <f t="shared" si="0"/>
        <v>671.66592533915821</v>
      </c>
      <c r="E34" s="240">
        <f t="shared" si="3"/>
        <v>10522.766163646811</v>
      </c>
      <c r="G34" s="171">
        <v>2046</v>
      </c>
      <c r="H34" s="240">
        <f t="shared" si="2"/>
        <v>19155.762765099462</v>
      </c>
      <c r="I34" s="421"/>
      <c r="J34" s="171">
        <v>2046</v>
      </c>
      <c r="K34" s="240">
        <f t="shared" si="4"/>
        <v>10532.852496868658</v>
      </c>
      <c r="L34" s="305"/>
    </row>
    <row r="35" spans="2:12" ht="15" customHeight="1" x14ac:dyDescent="0.3">
      <c r="B35" s="171">
        <v>2047</v>
      </c>
      <c r="C35" s="240">
        <f t="shared" si="1"/>
        <v>11549.798137780534</v>
      </c>
      <c r="D35" s="240">
        <f t="shared" si="0"/>
        <v>692.98788826683199</v>
      </c>
      <c r="E35" s="240">
        <f t="shared" si="3"/>
        <v>10856.810249513701</v>
      </c>
      <c r="G35" s="171">
        <v>2047</v>
      </c>
      <c r="H35" s="240">
        <f t="shared" si="2"/>
        <v>19763.860404297884</v>
      </c>
      <c r="I35" s="421"/>
      <c r="J35" s="171">
        <v>2047</v>
      </c>
      <c r="K35" s="240">
        <f t="shared" si="4"/>
        <v>10867.216772304379</v>
      </c>
      <c r="L35" s="305"/>
    </row>
    <row r="36" spans="2:12" ht="15" customHeight="1" x14ac:dyDescent="0.3">
      <c r="B36" s="171">
        <v>2048</v>
      </c>
      <c r="C36" s="240">
        <f t="shared" si="1"/>
        <v>11916.445243767817</v>
      </c>
      <c r="D36" s="240">
        <f t="shared" si="0"/>
        <v>714.98671462606899</v>
      </c>
      <c r="E36" s="240">
        <f t="shared" si="3"/>
        <v>11201.458529141748</v>
      </c>
      <c r="G36" s="171">
        <v>2048</v>
      </c>
      <c r="H36" s="240">
        <f t="shared" si="2"/>
        <v>20391.262037982622</v>
      </c>
      <c r="I36" s="421"/>
      <c r="J36" s="171">
        <v>2048</v>
      </c>
      <c r="K36" s="240">
        <f t="shared" si="4"/>
        <v>11212.195405884855</v>
      </c>
      <c r="L36" s="305"/>
    </row>
    <row r="37" spans="2:12" ht="15" customHeight="1" x14ac:dyDescent="0.3">
      <c r="B37" s="171">
        <v>2049</v>
      </c>
      <c r="C37" s="240">
        <f t="shared" si="1"/>
        <v>12294.731522901262</v>
      </c>
      <c r="D37" s="240">
        <f t="shared" si="0"/>
        <v>737.68389137407564</v>
      </c>
      <c r="E37" s="240">
        <f t="shared" si="3"/>
        <v>11557.047631527186</v>
      </c>
      <c r="G37" s="171">
        <v>2049</v>
      </c>
      <c r="H37" s="240">
        <f t="shared" si="2"/>
        <v>21038.580469393008</v>
      </c>
      <c r="I37" s="421"/>
      <c r="J37" s="171">
        <v>2049</v>
      </c>
      <c r="K37" s="240">
        <f t="shared" si="4"/>
        <v>11568.125349273594</v>
      </c>
      <c r="L37" s="305"/>
    </row>
    <row r="38" spans="2:12" ht="15" customHeight="1" x14ac:dyDescent="0.3">
      <c r="B38" s="171">
        <v>2050</v>
      </c>
      <c r="C38" s="240">
        <f t="shared" si="1"/>
        <v>12685.026459486935</v>
      </c>
      <c r="D38" s="240">
        <f t="shared" si="0"/>
        <v>761.10158756921612</v>
      </c>
      <c r="E38" s="240">
        <f t="shared" si="3"/>
        <v>11923.924871917719</v>
      </c>
      <c r="G38" s="171">
        <v>2050</v>
      </c>
      <c r="H38" s="240">
        <f t="shared" si="2"/>
        <v>21706.447955141623</v>
      </c>
      <c r="I38" s="421"/>
      <c r="J38" s="171">
        <v>2050</v>
      </c>
      <c r="K38" s="240">
        <f t="shared" si="4"/>
        <v>11935.354250628605</v>
      </c>
      <c r="L38" s="305"/>
    </row>
    <row r="39" spans="2:12" ht="15" customHeight="1" x14ac:dyDescent="0.3">
      <c r="B39" s="171">
        <v>2051</v>
      </c>
      <c r="C39" s="240">
        <f t="shared" si="1"/>
        <v>13087.711267070657</v>
      </c>
      <c r="D39" s="240">
        <f t="shared" si="0"/>
        <v>785.26267602423945</v>
      </c>
      <c r="E39" s="240">
        <f t="shared" si="3"/>
        <v>12302.448591046417</v>
      </c>
      <c r="G39" s="171">
        <v>2051</v>
      </c>
      <c r="H39" s="240">
        <f t="shared" si="2"/>
        <v>22395.516822759564</v>
      </c>
      <c r="I39" s="421"/>
      <c r="J39" s="171">
        <v>2051</v>
      </c>
      <c r="K39" s="240">
        <f t="shared" si="4"/>
        <v>12314.240794161471</v>
      </c>
      <c r="L39" s="305"/>
    </row>
    <row r="40" spans="2:12" ht="15" customHeight="1" x14ac:dyDescent="0.3">
      <c r="B40" s="171">
        <v>2052</v>
      </c>
      <c r="C40" s="240">
        <f t="shared" si="1"/>
        <v>13503.179260781475</v>
      </c>
      <c r="D40" s="240">
        <f t="shared" si="0"/>
        <v>810.19075564688842</v>
      </c>
      <c r="E40" s="240">
        <f t="shared" si="3"/>
        <v>12692.988505134586</v>
      </c>
      <c r="G40" s="171">
        <v>2052</v>
      </c>
      <c r="H40" s="240">
        <f t="shared" si="2"/>
        <v>23106.460107845603</v>
      </c>
      <c r="I40" s="421"/>
      <c r="J40" s="171">
        <v>2052</v>
      </c>
      <c r="K40" s="240">
        <f t="shared" si="4"/>
        <v>12705.155050475691</v>
      </c>
      <c r="L40" s="305"/>
    </row>
    <row r="41" spans="2:12" ht="15" customHeight="1" x14ac:dyDescent="0.3">
      <c r="B41" s="171">
        <v>2053</v>
      </c>
      <c r="C41" s="240">
        <f t="shared" si="1"/>
        <v>13931.836241495115</v>
      </c>
      <c r="D41" s="240">
        <f t="shared" si="0"/>
        <v>835.91017448970683</v>
      </c>
      <c r="E41" s="240">
        <f t="shared" si="3"/>
        <v>13095.926067005408</v>
      </c>
      <c r="G41" s="171">
        <v>2053</v>
      </c>
      <c r="H41" s="240">
        <f t="shared" si="2"/>
        <v>23839.972211441571</v>
      </c>
      <c r="I41" s="421"/>
      <c r="J41" s="171">
        <v>2053</v>
      </c>
      <c r="K41" s="240">
        <f t="shared" si="4"/>
        <v>13108.478838026473</v>
      </c>
      <c r="L41" s="305"/>
    </row>
    <row r="42" spans="2:12" ht="15" customHeight="1" x14ac:dyDescent="0.3">
      <c r="B42" s="171">
        <v>2054</v>
      </c>
      <c r="C42" s="240">
        <f t="shared" si="1"/>
        <v>14374.100892192684</v>
      </c>
      <c r="D42" s="240">
        <f t="shared" si="0"/>
        <v>862.44605353156101</v>
      </c>
      <c r="E42" s="240">
        <f t="shared" si="3"/>
        <v>13511.654838661123</v>
      </c>
      <c r="G42" s="171">
        <v>2054</v>
      </c>
      <c r="H42" s="240">
        <f t="shared" si="2"/>
        <v>24596.769578276067</v>
      </c>
      <c r="I42" s="421"/>
      <c r="J42" s="171">
        <v>2054</v>
      </c>
      <c r="K42" s="240">
        <f t="shared" si="4"/>
        <v>13524.606096055029</v>
      </c>
      <c r="L42" s="305"/>
    </row>
    <row r="43" spans="2:12" ht="15" customHeight="1" x14ac:dyDescent="0.3">
      <c r="B43" s="171">
        <v>2055</v>
      </c>
      <c r="C43" s="240">
        <f t="shared" si="1"/>
        <v>14830.405186901718</v>
      </c>
      <c r="D43" s="240">
        <f t="shared" si="0"/>
        <v>889.82431121410309</v>
      </c>
      <c r="E43" s="240">
        <f t="shared" si="3"/>
        <v>13940.580875687616</v>
      </c>
      <c r="G43" s="171">
        <v>2055</v>
      </c>
      <c r="H43" s="240">
        <f t="shared" si="2"/>
        <v>25377.591396538941</v>
      </c>
      <c r="I43" s="421"/>
      <c r="J43" s="171">
        <v>2055</v>
      </c>
      <c r="K43" s="240">
        <f t="shared" si="4"/>
        <v>13953.943269361631</v>
      </c>
      <c r="L43" s="305"/>
    </row>
    <row r="44" spans="2:12" ht="15" customHeight="1" x14ac:dyDescent="0.3">
      <c r="B44" s="171">
        <v>2056</v>
      </c>
      <c r="C44" s="240">
        <f t="shared" si="1"/>
        <v>15301.19481261904</v>
      </c>
      <c r="D44" s="240">
        <f t="shared" si="0"/>
        <v>918.0716887571424</v>
      </c>
      <c r="E44" s="240">
        <f t="shared" si="3"/>
        <v>14383.123123861898</v>
      </c>
      <c r="G44" s="171">
        <v>2056</v>
      </c>
      <c r="H44" s="240">
        <f t="shared" si="2"/>
        <v>26183.200319870029</v>
      </c>
      <c r="I44" s="421"/>
      <c r="J44" s="171">
        <v>2056</v>
      </c>
      <c r="K44" s="240">
        <f t="shared" si="4"/>
        <v>14396.909705293239</v>
      </c>
      <c r="L44" s="305"/>
    </row>
    <row r="45" spans="2:12" ht="15" customHeight="1" x14ac:dyDescent="0.3">
      <c r="B45" s="171">
        <v>2057</v>
      </c>
      <c r="C45" s="240">
        <f t="shared" si="1"/>
        <v>15786.929604627489</v>
      </c>
      <c r="D45" s="240">
        <f t="shared" si="0"/>
        <v>947.2157762776493</v>
      </c>
      <c r="E45" s="240">
        <f t="shared" si="3"/>
        <v>14839.713828349839</v>
      </c>
      <c r="G45" s="171">
        <v>2057</v>
      </c>
      <c r="H45" s="240">
        <f t="shared" si="2"/>
        <v>27014.383212267352</v>
      </c>
      <c r="I45" s="421"/>
      <c r="J45" s="171">
        <v>2057</v>
      </c>
      <c r="K45" s="240">
        <f t="shared" si="4"/>
        <v>14853.938063333473</v>
      </c>
      <c r="L45" s="305"/>
    </row>
    <row r="46" spans="2:12" ht="15" customHeight="1" x14ac:dyDescent="0.3">
      <c r="B46" s="171">
        <v>2058</v>
      </c>
      <c r="C46" s="240">
        <f t="shared" si="1"/>
        <v>16288.083995631756</v>
      </c>
      <c r="D46" s="240">
        <f t="shared" si="0"/>
        <v>977.28503973790532</v>
      </c>
      <c r="E46" s="240">
        <f t="shared" si="3"/>
        <v>15310.79895589385</v>
      </c>
      <c r="G46" s="171">
        <v>2058</v>
      </c>
      <c r="H46" s="240">
        <f t="shared" si="2"/>
        <v>27871.951916642356</v>
      </c>
      <c r="I46" s="421"/>
      <c r="J46" s="171">
        <v>2058</v>
      </c>
      <c r="K46" s="240">
        <f t="shared" si="4"/>
        <v>15325.474737694964</v>
      </c>
      <c r="L46" s="305"/>
    </row>
    <row r="47" spans="2:12" x14ac:dyDescent="0.3">
      <c r="B47" s="171">
        <v>2059</v>
      </c>
      <c r="C47" s="240">
        <f t="shared" si="1"/>
        <v>16805.147479151976</v>
      </c>
      <c r="D47" s="240">
        <f t="shared" si="0"/>
        <v>1008.3088487491185</v>
      </c>
      <c r="E47" s="240">
        <f t="shared" si="3"/>
        <v>15796.838630402857</v>
      </c>
      <c r="G47" s="171">
        <v>2059</v>
      </c>
      <c r="H47" s="240">
        <f t="shared" si="2"/>
        <v>28756.744047772831</v>
      </c>
      <c r="I47" s="421"/>
      <c r="J47" s="171">
        <v>2059</v>
      </c>
      <c r="K47" s="240">
        <f t="shared" si="4"/>
        <v>15811.980293326853</v>
      </c>
      <c r="L47" s="305"/>
    </row>
    <row r="48" spans="2:12" x14ac:dyDescent="0.3">
      <c r="B48" s="171">
        <v>2060</v>
      </c>
      <c r="C48" s="240">
        <f t="shared" si="1"/>
        <v>17338.625087627701</v>
      </c>
      <c r="D48" s="240">
        <f t="shared" si="0"/>
        <v>1040.3175052576621</v>
      </c>
      <c r="E48" s="240">
        <f t="shared" si="3"/>
        <v>16298.307582370038</v>
      </c>
      <c r="G48" s="171">
        <v>2060</v>
      </c>
      <c r="H48" s="240">
        <f t="shared" si="2"/>
        <v>29669.623810428064</v>
      </c>
      <c r="I48" s="421"/>
      <c r="J48" s="171">
        <v>2060</v>
      </c>
      <c r="K48" s="240">
        <f t="shared" si="4"/>
        <v>16313.92991576331</v>
      </c>
      <c r="L48" s="305"/>
    </row>
    <row r="54" spans="1:1" x14ac:dyDescent="0.3">
      <c r="A54" s="3" t="s">
        <v>608</v>
      </c>
    </row>
    <row r="55" spans="1:1" x14ac:dyDescent="0.3">
      <c r="A55" s="3" t="s">
        <v>609</v>
      </c>
    </row>
    <row r="56" spans="1:1" x14ac:dyDescent="0.3">
      <c r="A56" s="3">
        <v>4561</v>
      </c>
    </row>
    <row r="57" spans="1:1" x14ac:dyDescent="0.3">
      <c r="A57" s="3">
        <v>3987</v>
      </c>
    </row>
    <row r="58" spans="1:1" x14ac:dyDescent="0.3">
      <c r="A58" s="3">
        <v>5206</v>
      </c>
    </row>
    <row r="59" spans="1:1" x14ac:dyDescent="0.3">
      <c r="A59" s="3">
        <v>4941</v>
      </c>
    </row>
    <row r="60" spans="1:1" x14ac:dyDescent="0.3">
      <c r="A60" s="3">
        <f>AVERAGE(A56:A59)</f>
        <v>4673.75</v>
      </c>
    </row>
  </sheetData>
  <mergeCells count="2">
    <mergeCell ref="Z11:Z12"/>
    <mergeCell ref="W6:X6"/>
  </mergeCells>
  <hyperlinks>
    <hyperlink ref="E4" r:id="rId1" xr:uid="{527063DF-7661-4241-9862-7422E1A73066}"/>
  </hyperlinks>
  <pageMargins left="0.7" right="0.7" top="0.75" bottom="0.75" header="0.3" footer="0.3"/>
  <pageSetup orientation="portrait" horizontalDpi="1200" verticalDpi="120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D80BC-39DE-4338-868A-329C19F7FC62}">
  <sheetPr>
    <tabColor rgb="FFCDE0FF"/>
  </sheetPr>
  <dimension ref="A2:AB29"/>
  <sheetViews>
    <sheetView workbookViewId="0">
      <selection activeCell="G16" sqref="G16"/>
    </sheetView>
  </sheetViews>
  <sheetFormatPr defaultColWidth="9.109375" defaultRowHeight="14.4" x14ac:dyDescent="0.3"/>
  <cols>
    <col min="1" max="1" width="43.5546875" style="3" customWidth="1"/>
    <col min="2" max="2" width="8.6640625" style="3" bestFit="1" customWidth="1"/>
    <col min="3" max="3" width="12.6640625" style="3" customWidth="1"/>
    <col min="4" max="4" width="7" style="3" customWidth="1"/>
    <col min="5" max="5" width="13" style="3" customWidth="1"/>
    <col min="6" max="19" width="9.109375" style="3"/>
    <col min="20" max="20" width="13.44140625" style="3" customWidth="1"/>
    <col min="21" max="21" width="14" style="3" bestFit="1" customWidth="1"/>
    <col min="22" max="22" width="10.33203125" style="3" bestFit="1" customWidth="1"/>
    <col min="23" max="23" width="9.109375" style="3"/>
    <col min="24" max="24" width="13.6640625" style="3" bestFit="1" customWidth="1"/>
    <col min="25" max="26" width="12.6640625" style="3" bestFit="1" customWidth="1"/>
    <col min="27" max="27" width="9.109375" style="3"/>
    <col min="28" max="28" width="12.33203125" style="3" bestFit="1" customWidth="1"/>
    <col min="29" max="16384" width="9.109375" style="3"/>
  </cols>
  <sheetData>
    <row r="2" spans="1:28" x14ac:dyDescent="0.3">
      <c r="A2" s="398" t="s">
        <v>610</v>
      </c>
      <c r="B2" s="398" t="s">
        <v>611</v>
      </c>
      <c r="C2" s="399" t="s">
        <v>612</v>
      </c>
      <c r="D2" s="399" t="s">
        <v>613</v>
      </c>
      <c r="E2" s="398" t="s">
        <v>614</v>
      </c>
      <c r="F2" s="398" t="s">
        <v>615</v>
      </c>
      <c r="G2" s="398" t="s">
        <v>616</v>
      </c>
      <c r="H2" s="398" t="s">
        <v>617</v>
      </c>
      <c r="I2" s="398" t="s">
        <v>618</v>
      </c>
      <c r="J2" s="398" t="s">
        <v>619</v>
      </c>
      <c r="K2" s="398" t="s">
        <v>620</v>
      </c>
      <c r="L2" s="398" t="s">
        <v>621</v>
      </c>
      <c r="M2" s="398" t="s">
        <v>622</v>
      </c>
      <c r="N2" s="398" t="s">
        <v>623</v>
      </c>
      <c r="O2" s="398" t="s">
        <v>624</v>
      </c>
      <c r="P2" s="398" t="s">
        <v>625</v>
      </c>
      <c r="Q2" s="398" t="s">
        <v>626</v>
      </c>
      <c r="T2" s="398" t="s">
        <v>627</v>
      </c>
    </row>
    <row r="3" spans="1:28" x14ac:dyDescent="0.3">
      <c r="A3" s="3" t="s">
        <v>628</v>
      </c>
      <c r="B3" s="3" t="s">
        <v>629</v>
      </c>
      <c r="C3" s="400" t="s">
        <v>630</v>
      </c>
      <c r="D3" s="400" t="str">
        <f t="shared" ref="D3:D27" si="0">LEFT(C3,2)</f>
        <v>02</v>
      </c>
      <c r="E3" s="3" t="s">
        <v>631</v>
      </c>
      <c r="F3" s="3">
        <v>0</v>
      </c>
      <c r="G3" s="3">
        <v>5</v>
      </c>
      <c r="H3" s="3">
        <v>0</v>
      </c>
      <c r="I3" s="3">
        <v>0</v>
      </c>
      <c r="K3" s="3">
        <v>0</v>
      </c>
      <c r="L3" s="3">
        <v>5</v>
      </c>
      <c r="M3" s="3">
        <v>5</v>
      </c>
      <c r="O3" s="3">
        <v>0.5</v>
      </c>
      <c r="P3" s="3">
        <v>0</v>
      </c>
      <c r="Q3" s="3">
        <v>3</v>
      </c>
      <c r="T3" s="3" t="s">
        <v>613</v>
      </c>
      <c r="U3" s="3" t="s">
        <v>632</v>
      </c>
      <c r="V3" s="3" t="s">
        <v>633</v>
      </c>
      <c r="W3" s="3" t="s">
        <v>634</v>
      </c>
      <c r="X3" s="3" t="s">
        <v>635</v>
      </c>
      <c r="Y3" s="3" t="s">
        <v>636</v>
      </c>
      <c r="Z3" s="3" t="s">
        <v>637</v>
      </c>
      <c r="AB3" s="3" t="s">
        <v>638</v>
      </c>
    </row>
    <row r="4" spans="1:28" x14ac:dyDescent="0.3">
      <c r="A4" s="3" t="s">
        <v>639</v>
      </c>
      <c r="B4" s="3" t="s">
        <v>640</v>
      </c>
      <c r="C4" s="400" t="s">
        <v>641</v>
      </c>
      <c r="D4" s="400" t="str">
        <f t="shared" si="0"/>
        <v>02</v>
      </c>
      <c r="E4" s="3" t="s">
        <v>642</v>
      </c>
      <c r="F4" s="3">
        <v>8</v>
      </c>
      <c r="G4" s="3">
        <v>4</v>
      </c>
      <c r="H4" s="3">
        <v>4</v>
      </c>
      <c r="I4" s="3">
        <v>0</v>
      </c>
      <c r="K4" s="3">
        <v>0</v>
      </c>
      <c r="L4" s="3">
        <v>16</v>
      </c>
      <c r="M4" s="3">
        <v>16</v>
      </c>
      <c r="O4" s="3">
        <v>0.5</v>
      </c>
      <c r="P4" s="3">
        <v>0</v>
      </c>
      <c r="Q4" s="3">
        <v>0</v>
      </c>
      <c r="T4" s="3" t="s">
        <v>643</v>
      </c>
      <c r="U4" s="3">
        <f>COUNTIF($D$3:$D$27,2)</f>
        <v>3</v>
      </c>
      <c r="V4" s="3">
        <f>AVERAGE(L3)</f>
        <v>5</v>
      </c>
      <c r="W4" s="3">
        <f>AVERAGE(L4:L5)</f>
        <v>14</v>
      </c>
      <c r="X4" s="3">
        <f>52/4</f>
        <v>13</v>
      </c>
      <c r="Y4" s="3">
        <f>SUM(X4*5)</f>
        <v>65</v>
      </c>
      <c r="Z4" s="3">
        <f>SUM(X4*2)</f>
        <v>26</v>
      </c>
      <c r="AA4" s="3" t="s">
        <v>644</v>
      </c>
      <c r="AB4" s="3">
        <f>SUM(Y4*V4)+SUM(Z4*W4)</f>
        <v>689</v>
      </c>
    </row>
    <row r="5" spans="1:28" x14ac:dyDescent="0.3">
      <c r="A5" s="3" t="s">
        <v>645</v>
      </c>
      <c r="B5" s="3" t="s">
        <v>646</v>
      </c>
      <c r="C5" s="400" t="s">
        <v>647</v>
      </c>
      <c r="D5" s="400" t="str">
        <f t="shared" si="0"/>
        <v>02</v>
      </c>
      <c r="E5" s="3" t="s">
        <v>648</v>
      </c>
      <c r="F5" s="3">
        <v>0</v>
      </c>
      <c r="G5" s="3">
        <v>8</v>
      </c>
      <c r="H5" s="3">
        <v>4</v>
      </c>
      <c r="I5" s="3">
        <v>0</v>
      </c>
      <c r="K5" s="3">
        <v>0</v>
      </c>
      <c r="L5" s="3">
        <v>12</v>
      </c>
      <c r="M5" s="3">
        <v>12</v>
      </c>
      <c r="N5" s="3">
        <v>0</v>
      </c>
      <c r="O5" s="3">
        <v>0.25</v>
      </c>
      <c r="P5" s="3">
        <v>0</v>
      </c>
      <c r="Q5" s="3">
        <v>0</v>
      </c>
      <c r="T5" s="3" t="s">
        <v>649</v>
      </c>
      <c r="U5" s="3">
        <f>COUNTIF($D$3:$D$27,3)</f>
        <v>9</v>
      </c>
      <c r="V5" s="3">
        <f>AVERAGE(L6:L7,L9,L12,L14)</f>
        <v>14.6</v>
      </c>
      <c r="W5" s="3">
        <f>AVERAGE(L8,L10:L11,L13)</f>
        <v>34.5</v>
      </c>
      <c r="X5" s="3">
        <f>52/4</f>
        <v>13</v>
      </c>
      <c r="Y5" s="3">
        <f>SUM(X5*5)</f>
        <v>65</v>
      </c>
      <c r="Z5" s="3">
        <f>SUM(X5*2)</f>
        <v>26</v>
      </c>
      <c r="AA5" s="3" t="s">
        <v>650</v>
      </c>
      <c r="AB5" s="229">
        <f>SUM(AVERAGE(Y5*AVERAGE(V5:V6)+SUM(Z5*AVERAGE(W5:W6))))</f>
        <v>2818.833333333333</v>
      </c>
    </row>
    <row r="6" spans="1:28" x14ac:dyDescent="0.3">
      <c r="A6" s="3" t="s">
        <v>628</v>
      </c>
      <c r="B6" s="3" t="s">
        <v>651</v>
      </c>
      <c r="C6" s="400" t="s">
        <v>652</v>
      </c>
      <c r="D6" s="400" t="str">
        <f t="shared" si="0"/>
        <v>03</v>
      </c>
      <c r="E6" s="3" t="s">
        <v>653</v>
      </c>
      <c r="F6" s="3">
        <v>3</v>
      </c>
      <c r="G6" s="3">
        <v>8</v>
      </c>
      <c r="H6" s="3">
        <v>0</v>
      </c>
      <c r="I6" s="3">
        <v>0</v>
      </c>
      <c r="K6" s="3">
        <v>0</v>
      </c>
      <c r="L6" s="3">
        <v>11</v>
      </c>
      <c r="M6" s="3">
        <v>11</v>
      </c>
      <c r="O6" s="3">
        <v>0.1</v>
      </c>
      <c r="P6" s="3">
        <v>0</v>
      </c>
      <c r="Q6" s="3">
        <v>0</v>
      </c>
      <c r="T6" s="3" t="s">
        <v>654</v>
      </c>
      <c r="U6" s="3">
        <f>COUNTIF($D$3:$D$27,4)</f>
        <v>5</v>
      </c>
      <c r="V6" s="224">
        <f>AVERAGE(L15,L17,L19)</f>
        <v>23.333333333333332</v>
      </c>
      <c r="W6" s="3">
        <f>AVERAGE(L16,L18)</f>
        <v>87.5</v>
      </c>
      <c r="X6" s="3">
        <f>52/4</f>
        <v>13</v>
      </c>
      <c r="Y6" s="3">
        <f>SUM(X6*5)</f>
        <v>65</v>
      </c>
      <c r="Z6" s="3">
        <f>SUM(X6*2)</f>
        <v>26</v>
      </c>
      <c r="AA6" s="3" t="s">
        <v>655</v>
      </c>
      <c r="AB6" s="230">
        <f>AB5</f>
        <v>2818.833333333333</v>
      </c>
    </row>
    <row r="7" spans="1:28" x14ac:dyDescent="0.3">
      <c r="A7" s="3" t="s">
        <v>656</v>
      </c>
      <c r="B7" s="3" t="s">
        <v>629</v>
      </c>
      <c r="C7" s="400" t="s">
        <v>657</v>
      </c>
      <c r="D7" s="400" t="str">
        <f t="shared" si="0"/>
        <v>03</v>
      </c>
      <c r="E7" s="3" t="s">
        <v>658</v>
      </c>
      <c r="F7" s="3">
        <v>0</v>
      </c>
      <c r="G7" s="3">
        <v>10</v>
      </c>
      <c r="H7" s="3">
        <v>2</v>
      </c>
      <c r="I7" s="3">
        <v>0</v>
      </c>
      <c r="J7" s="3" t="s">
        <v>659</v>
      </c>
      <c r="K7" s="3">
        <v>0</v>
      </c>
      <c r="L7" s="3">
        <v>5</v>
      </c>
      <c r="M7" s="3">
        <v>17</v>
      </c>
      <c r="O7" s="3">
        <v>1</v>
      </c>
      <c r="P7" s="3">
        <v>0</v>
      </c>
      <c r="Q7" s="3">
        <v>0</v>
      </c>
      <c r="T7" s="3" t="s">
        <v>660</v>
      </c>
      <c r="U7" s="3">
        <f>COUNTIF($D$3:$D$27,5)</f>
        <v>8</v>
      </c>
      <c r="V7" s="3">
        <f>AVERAGE(L20:L23,L25:L26)</f>
        <v>18</v>
      </c>
      <c r="W7" s="3">
        <f>AVERAGE(L27,L24)</f>
        <v>22.5</v>
      </c>
      <c r="X7" s="3">
        <f>52/4</f>
        <v>13</v>
      </c>
      <c r="Y7" s="3">
        <f>SUM(X7*5)</f>
        <v>65</v>
      </c>
      <c r="Z7" s="3">
        <f>SUM(X7*2)</f>
        <v>26</v>
      </c>
      <c r="AA7" s="3" t="s">
        <v>661</v>
      </c>
      <c r="AB7" s="230">
        <f>SUM(Y7*V7)+SUM(Z7*W7)</f>
        <v>1755</v>
      </c>
    </row>
    <row r="8" spans="1:28" x14ac:dyDescent="0.3">
      <c r="A8" s="3" t="s">
        <v>662</v>
      </c>
      <c r="B8" s="3" t="s">
        <v>646</v>
      </c>
      <c r="C8" s="400" t="s">
        <v>663</v>
      </c>
      <c r="D8" s="400" t="str">
        <f t="shared" si="0"/>
        <v>03</v>
      </c>
      <c r="E8" s="3" t="s">
        <v>664</v>
      </c>
      <c r="F8" s="3">
        <v>4</v>
      </c>
      <c r="G8" s="3">
        <v>9</v>
      </c>
      <c r="H8" s="3">
        <v>4</v>
      </c>
      <c r="I8" s="3">
        <v>0</v>
      </c>
      <c r="J8" s="3" t="s">
        <v>665</v>
      </c>
      <c r="K8" s="3">
        <v>0</v>
      </c>
      <c r="L8" s="3">
        <v>17</v>
      </c>
      <c r="M8" s="3">
        <v>16</v>
      </c>
      <c r="O8" s="3">
        <v>0.1</v>
      </c>
      <c r="P8" s="3">
        <v>0</v>
      </c>
      <c r="Q8" s="3">
        <v>0</v>
      </c>
      <c r="Z8" s="3">
        <f>SUM(Y4:Z7)</f>
        <v>364</v>
      </c>
      <c r="AB8" s="229">
        <f>SUM(AB4:AB7)</f>
        <v>8081.6666666666661</v>
      </c>
    </row>
    <row r="9" spans="1:28" x14ac:dyDescent="0.3">
      <c r="A9" s="3" t="s">
        <v>628</v>
      </c>
      <c r="B9" s="3" t="s">
        <v>651</v>
      </c>
      <c r="C9" s="400" t="s">
        <v>666</v>
      </c>
      <c r="D9" s="400" t="str">
        <f t="shared" si="0"/>
        <v>03</v>
      </c>
      <c r="E9" s="3" t="s">
        <v>667</v>
      </c>
      <c r="F9" s="3">
        <v>0</v>
      </c>
      <c r="G9" s="3">
        <v>4</v>
      </c>
      <c r="H9" s="3">
        <v>1</v>
      </c>
      <c r="I9" s="3">
        <v>0</v>
      </c>
      <c r="J9" s="3" t="s">
        <v>665</v>
      </c>
      <c r="K9" s="3">
        <v>0</v>
      </c>
      <c r="L9" s="3">
        <v>5</v>
      </c>
      <c r="M9" s="3">
        <v>5</v>
      </c>
      <c r="O9" s="3">
        <v>2</v>
      </c>
      <c r="P9" s="3">
        <v>0</v>
      </c>
      <c r="Q9" s="3">
        <v>0</v>
      </c>
      <c r="Y9" s="150"/>
      <c r="AB9" s="229"/>
    </row>
    <row r="10" spans="1:28" x14ac:dyDescent="0.3">
      <c r="A10" s="3" t="s">
        <v>645</v>
      </c>
      <c r="B10" s="3" t="s">
        <v>640</v>
      </c>
      <c r="C10" s="400" t="s">
        <v>668</v>
      </c>
      <c r="D10" s="400" t="str">
        <f t="shared" si="0"/>
        <v>03</v>
      </c>
      <c r="E10" s="3" t="s">
        <v>669</v>
      </c>
      <c r="F10" s="3">
        <v>0</v>
      </c>
      <c r="G10" s="3">
        <v>3</v>
      </c>
      <c r="H10" s="3">
        <v>2</v>
      </c>
      <c r="I10" s="3">
        <v>0</v>
      </c>
      <c r="J10" s="3" t="s">
        <v>665</v>
      </c>
      <c r="K10" s="3">
        <v>0</v>
      </c>
      <c r="L10" s="3">
        <v>5</v>
      </c>
      <c r="M10" s="3">
        <v>5</v>
      </c>
      <c r="N10" s="3">
        <v>0</v>
      </c>
      <c r="O10" s="3">
        <v>0</v>
      </c>
      <c r="P10" s="3">
        <v>0</v>
      </c>
      <c r="Q10" s="3">
        <v>0</v>
      </c>
      <c r="Y10" s="3" t="s">
        <v>670</v>
      </c>
    </row>
    <row r="11" spans="1:28" x14ac:dyDescent="0.3">
      <c r="A11" s="3" t="s">
        <v>671</v>
      </c>
      <c r="B11" s="3" t="s">
        <v>646</v>
      </c>
      <c r="C11" s="400" t="s">
        <v>672</v>
      </c>
      <c r="D11" s="400" t="str">
        <f t="shared" si="0"/>
        <v>03</v>
      </c>
      <c r="E11" s="3" t="s">
        <v>673</v>
      </c>
      <c r="F11" s="3">
        <v>2</v>
      </c>
      <c r="G11" s="3">
        <v>29</v>
      </c>
      <c r="H11" s="3">
        <v>8</v>
      </c>
      <c r="I11" s="3">
        <v>0</v>
      </c>
      <c r="J11" s="3" t="s">
        <v>665</v>
      </c>
      <c r="K11" s="3">
        <v>0</v>
      </c>
      <c r="L11" s="3">
        <v>39</v>
      </c>
      <c r="M11" s="3">
        <v>38</v>
      </c>
      <c r="N11" s="3">
        <v>0</v>
      </c>
      <c r="O11" s="3">
        <v>0</v>
      </c>
      <c r="P11" s="3">
        <v>0</v>
      </c>
      <c r="Q11" s="3">
        <v>0</v>
      </c>
    </row>
    <row r="12" spans="1:28" x14ac:dyDescent="0.3">
      <c r="A12" s="3" t="s">
        <v>674</v>
      </c>
      <c r="B12" s="3" t="s">
        <v>651</v>
      </c>
      <c r="C12" s="400" t="s">
        <v>675</v>
      </c>
      <c r="D12" s="400" t="str">
        <f t="shared" si="0"/>
        <v>03</v>
      </c>
      <c r="E12" s="3" t="s">
        <v>676</v>
      </c>
      <c r="F12" s="3">
        <v>0</v>
      </c>
      <c r="G12" s="3">
        <v>29</v>
      </c>
      <c r="H12" s="3">
        <v>2</v>
      </c>
      <c r="I12" s="3">
        <v>0</v>
      </c>
      <c r="J12" s="3" t="s">
        <v>665</v>
      </c>
      <c r="K12" s="3">
        <v>0</v>
      </c>
      <c r="L12" s="3">
        <v>31</v>
      </c>
      <c r="M12" s="3">
        <v>31</v>
      </c>
      <c r="Q12" s="3">
        <v>1</v>
      </c>
    </row>
    <row r="13" spans="1:28" x14ac:dyDescent="0.3">
      <c r="A13" s="3" t="s">
        <v>677</v>
      </c>
      <c r="B13" s="3" t="s">
        <v>646</v>
      </c>
      <c r="C13" s="400" t="s">
        <v>678</v>
      </c>
      <c r="D13" s="400" t="str">
        <f t="shared" si="0"/>
        <v>03</v>
      </c>
      <c r="E13" s="3" t="s">
        <v>679</v>
      </c>
      <c r="F13" s="3">
        <v>12</v>
      </c>
      <c r="G13" s="3">
        <v>59</v>
      </c>
      <c r="H13" s="3">
        <v>16</v>
      </c>
      <c r="I13" s="3">
        <v>0</v>
      </c>
      <c r="J13" s="3" t="s">
        <v>665</v>
      </c>
      <c r="K13" s="3">
        <v>0</v>
      </c>
      <c r="L13" s="3">
        <v>77</v>
      </c>
      <c r="M13" s="3">
        <v>70</v>
      </c>
      <c r="P13" s="3">
        <v>0</v>
      </c>
      <c r="Q13" s="3">
        <v>0</v>
      </c>
    </row>
    <row r="14" spans="1:28" x14ac:dyDescent="0.3">
      <c r="A14" s="3" t="s">
        <v>680</v>
      </c>
      <c r="B14" s="3" t="s">
        <v>651</v>
      </c>
      <c r="C14" s="400" t="s">
        <v>681</v>
      </c>
      <c r="D14" s="400" t="str">
        <f t="shared" si="0"/>
        <v>03</v>
      </c>
      <c r="E14" s="3" t="s">
        <v>682</v>
      </c>
      <c r="F14" s="3">
        <v>4</v>
      </c>
      <c r="G14" s="3">
        <v>17</v>
      </c>
      <c r="H14" s="3">
        <v>0</v>
      </c>
      <c r="I14" s="3">
        <v>0</v>
      </c>
      <c r="K14" s="3">
        <v>0</v>
      </c>
      <c r="L14" s="3">
        <v>21</v>
      </c>
      <c r="M14" s="3">
        <v>20</v>
      </c>
      <c r="P14" s="3">
        <v>0</v>
      </c>
      <c r="Q14" s="3">
        <v>1</v>
      </c>
    </row>
    <row r="15" spans="1:28" x14ac:dyDescent="0.3">
      <c r="A15" s="3" t="s">
        <v>683</v>
      </c>
      <c r="B15" s="3" t="s">
        <v>629</v>
      </c>
      <c r="C15" s="400" t="s">
        <v>684</v>
      </c>
      <c r="D15" s="400" t="str">
        <f t="shared" si="0"/>
        <v>04</v>
      </c>
      <c r="E15" s="3" t="s">
        <v>685</v>
      </c>
      <c r="F15" s="3">
        <v>0</v>
      </c>
      <c r="G15" s="3">
        <v>24</v>
      </c>
      <c r="H15" s="3">
        <v>4</v>
      </c>
      <c r="I15" s="3">
        <v>0</v>
      </c>
      <c r="K15" s="3">
        <v>0</v>
      </c>
      <c r="L15" s="3">
        <v>28</v>
      </c>
      <c r="M15" s="3">
        <v>27</v>
      </c>
      <c r="P15" s="3">
        <v>0</v>
      </c>
      <c r="Q15" s="3">
        <v>0</v>
      </c>
    </row>
    <row r="16" spans="1:28" x14ac:dyDescent="0.3">
      <c r="A16" s="3" t="s">
        <v>677</v>
      </c>
      <c r="B16" s="3" t="s">
        <v>646</v>
      </c>
      <c r="C16" s="400" t="s">
        <v>686</v>
      </c>
      <c r="D16" s="400" t="str">
        <f t="shared" si="0"/>
        <v>04</v>
      </c>
      <c r="E16" s="3" t="s">
        <v>687</v>
      </c>
      <c r="F16" s="3">
        <v>7</v>
      </c>
      <c r="G16" s="3">
        <v>62</v>
      </c>
      <c r="H16" s="3">
        <v>9</v>
      </c>
      <c r="I16" s="3">
        <v>0</v>
      </c>
      <c r="K16" s="3">
        <v>0</v>
      </c>
      <c r="L16" s="3">
        <v>78</v>
      </c>
      <c r="M16" s="3">
        <v>73</v>
      </c>
      <c r="P16" s="3">
        <v>0</v>
      </c>
      <c r="Q16" s="3">
        <v>4</v>
      </c>
    </row>
    <row r="17" spans="1:17" x14ac:dyDescent="0.3">
      <c r="A17" s="3" t="s">
        <v>674</v>
      </c>
      <c r="B17" s="3" t="s">
        <v>651</v>
      </c>
      <c r="C17" s="400" t="s">
        <v>688</v>
      </c>
      <c r="D17" s="400" t="str">
        <f t="shared" si="0"/>
        <v>04</v>
      </c>
      <c r="E17" s="3" t="s">
        <v>689</v>
      </c>
      <c r="F17" s="3">
        <v>0</v>
      </c>
      <c r="G17" s="3">
        <v>16</v>
      </c>
      <c r="H17" s="3">
        <v>5</v>
      </c>
      <c r="I17" s="3">
        <v>0</v>
      </c>
      <c r="K17" s="3">
        <v>0</v>
      </c>
      <c r="L17" s="3">
        <v>21</v>
      </c>
      <c r="M17" s="3">
        <v>20</v>
      </c>
      <c r="P17" s="3">
        <v>0</v>
      </c>
      <c r="Q17" s="3">
        <v>2</v>
      </c>
    </row>
    <row r="18" spans="1:17" x14ac:dyDescent="0.3">
      <c r="A18" s="3" t="s">
        <v>690</v>
      </c>
      <c r="B18" s="3" t="s">
        <v>646</v>
      </c>
      <c r="C18" s="400" t="s">
        <v>691</v>
      </c>
      <c r="D18" s="400" t="str">
        <f t="shared" si="0"/>
        <v>04</v>
      </c>
      <c r="E18" s="3" t="s">
        <v>692</v>
      </c>
      <c r="F18" s="3">
        <v>3</v>
      </c>
      <c r="G18" s="3">
        <v>88</v>
      </c>
      <c r="H18" s="3">
        <v>6</v>
      </c>
      <c r="I18" s="3">
        <v>0</v>
      </c>
      <c r="K18" s="3">
        <v>0</v>
      </c>
      <c r="L18" s="3">
        <v>97</v>
      </c>
      <c r="M18" s="3">
        <v>83</v>
      </c>
      <c r="P18" s="3">
        <v>0</v>
      </c>
      <c r="Q18" s="3">
        <v>1</v>
      </c>
    </row>
    <row r="19" spans="1:17" x14ac:dyDescent="0.3">
      <c r="A19" s="3" t="s">
        <v>674</v>
      </c>
      <c r="B19" s="3" t="s">
        <v>651</v>
      </c>
      <c r="C19" s="400" t="s">
        <v>693</v>
      </c>
      <c r="D19" s="400" t="str">
        <f t="shared" si="0"/>
        <v>04</v>
      </c>
      <c r="E19" s="3" t="s">
        <v>694</v>
      </c>
      <c r="F19" s="3">
        <v>0</v>
      </c>
      <c r="G19" s="3">
        <v>15</v>
      </c>
      <c r="H19" s="3">
        <v>6</v>
      </c>
      <c r="I19" s="3">
        <v>0</v>
      </c>
      <c r="K19" s="3">
        <v>0</v>
      </c>
      <c r="L19" s="3">
        <v>21</v>
      </c>
      <c r="M19" s="3">
        <v>18</v>
      </c>
      <c r="P19" s="3">
        <v>0</v>
      </c>
      <c r="Q19" s="3">
        <v>0</v>
      </c>
    </row>
    <row r="20" spans="1:17" x14ac:dyDescent="0.3">
      <c r="A20" s="3" t="s">
        <v>683</v>
      </c>
      <c r="B20" s="3" t="s">
        <v>695</v>
      </c>
      <c r="C20" s="400" t="s">
        <v>696</v>
      </c>
      <c r="D20" s="400" t="str">
        <f t="shared" si="0"/>
        <v>05</v>
      </c>
      <c r="E20" s="3" t="s">
        <v>697</v>
      </c>
      <c r="F20" s="3">
        <v>0</v>
      </c>
      <c r="G20" s="3">
        <v>7</v>
      </c>
      <c r="H20" s="3">
        <v>9</v>
      </c>
      <c r="I20" s="3">
        <v>0</v>
      </c>
      <c r="K20" s="3">
        <v>0</v>
      </c>
      <c r="L20" s="3">
        <v>16</v>
      </c>
      <c r="M20" s="3">
        <v>13</v>
      </c>
      <c r="P20" s="3">
        <v>0</v>
      </c>
      <c r="Q20" s="3">
        <v>0</v>
      </c>
    </row>
    <row r="21" spans="1:17" x14ac:dyDescent="0.3">
      <c r="A21" s="3" t="s">
        <v>698</v>
      </c>
      <c r="B21" s="3" t="s">
        <v>651</v>
      </c>
      <c r="C21" s="400" t="s">
        <v>699</v>
      </c>
      <c r="D21" s="400" t="str">
        <f t="shared" si="0"/>
        <v>05</v>
      </c>
      <c r="E21" s="3" t="s">
        <v>700</v>
      </c>
      <c r="F21" s="3">
        <v>1</v>
      </c>
      <c r="G21" s="3">
        <v>13</v>
      </c>
      <c r="H21" s="3">
        <v>10</v>
      </c>
      <c r="I21" s="3">
        <v>0</v>
      </c>
      <c r="K21" s="3">
        <v>0</v>
      </c>
      <c r="L21" s="3">
        <v>24</v>
      </c>
      <c r="M21" s="3">
        <v>9</v>
      </c>
      <c r="P21" s="3">
        <v>0</v>
      </c>
      <c r="Q21" s="3">
        <v>0</v>
      </c>
    </row>
    <row r="22" spans="1:17" x14ac:dyDescent="0.3">
      <c r="A22" s="3" t="s">
        <v>701</v>
      </c>
      <c r="B22" s="3" t="s">
        <v>629</v>
      </c>
      <c r="C22" s="400" t="s">
        <v>702</v>
      </c>
      <c r="D22" s="400" t="str">
        <f t="shared" si="0"/>
        <v>05</v>
      </c>
      <c r="E22" s="3" t="s">
        <v>703</v>
      </c>
      <c r="F22" s="3">
        <v>2</v>
      </c>
      <c r="G22" s="3">
        <v>8</v>
      </c>
      <c r="H22" s="3">
        <v>21</v>
      </c>
      <c r="I22" s="3">
        <v>0</v>
      </c>
      <c r="J22" s="3" t="s">
        <v>665</v>
      </c>
      <c r="L22" s="3">
        <v>31</v>
      </c>
      <c r="M22" s="3">
        <v>27</v>
      </c>
      <c r="P22" s="3">
        <v>0</v>
      </c>
      <c r="Q22" s="3">
        <v>0</v>
      </c>
    </row>
    <row r="23" spans="1:17" x14ac:dyDescent="0.3">
      <c r="A23" s="3" t="s">
        <v>674</v>
      </c>
      <c r="B23" s="3" t="s">
        <v>651</v>
      </c>
      <c r="C23" s="400" t="s">
        <v>704</v>
      </c>
      <c r="D23" s="400" t="str">
        <f t="shared" si="0"/>
        <v>05</v>
      </c>
      <c r="E23" s="3" t="s">
        <v>705</v>
      </c>
      <c r="F23" s="3">
        <v>0</v>
      </c>
      <c r="G23" s="3">
        <v>0</v>
      </c>
      <c r="H23" s="3">
        <v>12</v>
      </c>
      <c r="I23" s="3">
        <v>0</v>
      </c>
      <c r="K23" s="3">
        <v>0</v>
      </c>
      <c r="L23" s="3">
        <v>12</v>
      </c>
      <c r="M23" s="3">
        <v>11</v>
      </c>
      <c r="N23" s="3">
        <v>1</v>
      </c>
      <c r="O23" s="3">
        <v>1</v>
      </c>
      <c r="P23" s="3">
        <v>0</v>
      </c>
      <c r="Q23" s="3">
        <v>0</v>
      </c>
    </row>
    <row r="24" spans="1:17" x14ac:dyDescent="0.3">
      <c r="A24" s="3" t="s">
        <v>706</v>
      </c>
      <c r="B24" s="3" t="s">
        <v>646</v>
      </c>
      <c r="C24" s="400" t="s">
        <v>707</v>
      </c>
      <c r="D24" s="400" t="str">
        <f t="shared" si="0"/>
        <v>05</v>
      </c>
      <c r="E24" s="3" t="s">
        <v>708</v>
      </c>
      <c r="F24" s="3">
        <v>0</v>
      </c>
      <c r="G24" s="3">
        <v>10</v>
      </c>
      <c r="H24" s="3">
        <v>12</v>
      </c>
      <c r="I24" s="3">
        <v>0</v>
      </c>
      <c r="L24" s="3">
        <v>22</v>
      </c>
      <c r="M24" s="3">
        <v>20</v>
      </c>
      <c r="N24" s="3">
        <v>0</v>
      </c>
      <c r="O24" s="3">
        <v>0</v>
      </c>
      <c r="P24" s="3">
        <v>0</v>
      </c>
      <c r="Q24" s="3">
        <v>1</v>
      </c>
    </row>
    <row r="25" spans="1:17" x14ac:dyDescent="0.3">
      <c r="A25" s="3" t="s">
        <v>709</v>
      </c>
      <c r="B25" s="3" t="s">
        <v>651</v>
      </c>
      <c r="C25" s="400" t="s">
        <v>710</v>
      </c>
      <c r="D25" s="400" t="str">
        <f t="shared" si="0"/>
        <v>05</v>
      </c>
      <c r="E25" s="3" t="s">
        <v>711</v>
      </c>
      <c r="F25" s="3">
        <v>0</v>
      </c>
      <c r="G25" s="3">
        <v>6</v>
      </c>
      <c r="H25" s="3">
        <v>8</v>
      </c>
      <c r="I25" s="3">
        <v>0</v>
      </c>
      <c r="L25" s="3">
        <v>14</v>
      </c>
      <c r="M25" s="3">
        <v>12</v>
      </c>
      <c r="N25" s="3">
        <v>30</v>
      </c>
      <c r="O25" s="3">
        <v>35</v>
      </c>
      <c r="P25" s="3">
        <v>0</v>
      </c>
      <c r="Q25" s="3">
        <v>0</v>
      </c>
    </row>
    <row r="26" spans="1:17" x14ac:dyDescent="0.3">
      <c r="A26" s="3" t="s">
        <v>674</v>
      </c>
      <c r="B26" s="3" t="s">
        <v>629</v>
      </c>
      <c r="C26" s="400" t="s">
        <v>712</v>
      </c>
      <c r="D26" s="400" t="str">
        <f t="shared" si="0"/>
        <v>05</v>
      </c>
      <c r="E26" s="3" t="s">
        <v>713</v>
      </c>
      <c r="F26" s="3">
        <v>0</v>
      </c>
      <c r="G26" s="3">
        <v>0</v>
      </c>
      <c r="H26" s="3">
        <v>11</v>
      </c>
      <c r="I26" s="3">
        <v>0</v>
      </c>
      <c r="L26" s="3">
        <v>11</v>
      </c>
      <c r="M26" s="3">
        <v>10</v>
      </c>
      <c r="N26" s="3">
        <v>0</v>
      </c>
      <c r="O26" s="3">
        <v>0</v>
      </c>
      <c r="P26" s="3">
        <v>0</v>
      </c>
      <c r="Q26" s="3">
        <v>0</v>
      </c>
    </row>
    <row r="27" spans="1:17" x14ac:dyDescent="0.3">
      <c r="A27" s="3" t="s">
        <v>706</v>
      </c>
      <c r="B27" s="3" t="s">
        <v>646</v>
      </c>
      <c r="C27" s="400" t="s">
        <v>714</v>
      </c>
      <c r="D27" s="400" t="str">
        <f t="shared" si="0"/>
        <v>05</v>
      </c>
      <c r="E27" s="3" t="s">
        <v>715</v>
      </c>
      <c r="F27" s="3">
        <v>5</v>
      </c>
      <c r="G27" s="3">
        <v>5</v>
      </c>
      <c r="H27" s="3">
        <v>13</v>
      </c>
      <c r="I27" s="3">
        <v>0</v>
      </c>
      <c r="L27" s="3">
        <v>23</v>
      </c>
      <c r="M27" s="3">
        <v>18</v>
      </c>
      <c r="N27" s="3">
        <v>0</v>
      </c>
      <c r="O27" s="3">
        <v>0</v>
      </c>
      <c r="P27" s="3">
        <v>0</v>
      </c>
      <c r="Q27" s="3">
        <v>0</v>
      </c>
    </row>
    <row r="28" spans="1:17" x14ac:dyDescent="0.3">
      <c r="E28" s="205" t="s">
        <v>135</v>
      </c>
      <c r="F28" s="3">
        <f>SUM(F3:F27)</f>
        <v>51</v>
      </c>
      <c r="G28" s="3">
        <f>SUM(G3:G27)</f>
        <v>439</v>
      </c>
      <c r="H28" s="3">
        <f>SUM(H3:H27)</f>
        <v>169</v>
      </c>
      <c r="I28" s="3">
        <f>SUM(I3:I27)</f>
        <v>0</v>
      </c>
      <c r="L28" s="3">
        <f>SUM(L3:L27)</f>
        <v>642</v>
      </c>
      <c r="M28" s="3">
        <f>SUM(M3:M27)</f>
        <v>587</v>
      </c>
    </row>
    <row r="29" spans="1:17" x14ac:dyDescent="0.3">
      <c r="E29" s="3" t="s">
        <v>716</v>
      </c>
      <c r="F29" s="3">
        <f>AVERAGE(F3:F27)</f>
        <v>2.04</v>
      </c>
      <c r="G29" s="3">
        <f>AVERAGE(G3:G27)</f>
        <v>17.559999999999999</v>
      </c>
      <c r="H29" s="3">
        <f>AVERAGE(H3:H27)</f>
        <v>6.76</v>
      </c>
      <c r="I29" s="3">
        <f>AVERAGE(I3:I27)</f>
        <v>0</v>
      </c>
      <c r="L29" s="3">
        <f>AVERAGE(L3:L27)</f>
        <v>25.68</v>
      </c>
      <c r="M29" s="3">
        <f>AVERAGE(M3:M27)</f>
        <v>23.48</v>
      </c>
    </row>
  </sheetData>
  <pageMargins left="0.7" right="0.7" top="0.75" bottom="0.75" header="0.3" footer="0.3"/>
  <pageSetup orientation="portrait" horizontalDpi="30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9AB2-1448-4351-84E6-E9E762AFC7EA}">
  <sheetPr>
    <tabColor rgb="FFCDE0FF"/>
  </sheetPr>
  <dimension ref="A1:R120"/>
  <sheetViews>
    <sheetView topLeftCell="A100" workbookViewId="0">
      <selection activeCell="M7" sqref="M7"/>
    </sheetView>
  </sheetViews>
  <sheetFormatPr defaultColWidth="9.109375" defaultRowHeight="14.4" x14ac:dyDescent="0.3"/>
  <cols>
    <col min="1" max="6" width="9.109375" style="3"/>
    <col min="7" max="7" width="9.5546875" style="3" bestFit="1" customWidth="1"/>
    <col min="8" max="16384" width="9.109375" style="3"/>
  </cols>
  <sheetData>
    <row r="1" spans="1:18" x14ac:dyDescent="0.3">
      <c r="L1" s="141" t="s">
        <v>717</v>
      </c>
      <c r="M1" s="141"/>
      <c r="N1" s="141"/>
      <c r="O1" s="141"/>
      <c r="P1" s="141"/>
      <c r="Q1" s="141"/>
    </row>
    <row r="2" spans="1:18" x14ac:dyDescent="0.3">
      <c r="A2" s="482"/>
      <c r="B2" s="483" t="s">
        <v>718</v>
      </c>
      <c r="C2" s="483"/>
      <c r="D2" s="483"/>
      <c r="E2" s="484">
        <v>8887</v>
      </c>
      <c r="F2" s="484"/>
      <c r="G2" s="484" t="s">
        <v>719</v>
      </c>
      <c r="H2" s="482"/>
      <c r="I2" s="482"/>
      <c r="J2" s="482"/>
      <c r="K2" s="482"/>
      <c r="L2" s="485" t="s">
        <v>720</v>
      </c>
      <c r="M2" s="485"/>
      <c r="N2" s="485"/>
      <c r="O2" s="485"/>
      <c r="P2" s="485"/>
      <c r="Q2" s="485"/>
      <c r="R2" s="422" t="s">
        <v>721</v>
      </c>
    </row>
    <row r="3" spans="1:18" x14ac:dyDescent="0.3">
      <c r="A3" s="482"/>
      <c r="B3" s="483"/>
      <c r="C3" s="483"/>
      <c r="D3" s="483"/>
      <c r="E3" s="484"/>
      <c r="F3" s="484"/>
      <c r="G3" s="484"/>
      <c r="H3" s="482"/>
      <c r="I3" s="482"/>
      <c r="J3" s="482"/>
      <c r="K3" s="482"/>
      <c r="L3" s="486" t="s">
        <v>722</v>
      </c>
      <c r="M3" s="485"/>
      <c r="N3" s="485"/>
      <c r="O3" s="485"/>
      <c r="P3" s="485"/>
      <c r="Q3" s="485"/>
      <c r="R3" s="422"/>
    </row>
    <row r="4" spans="1:18" ht="30" customHeight="1" x14ac:dyDescent="0.3">
      <c r="B4" s="483" t="s">
        <v>723</v>
      </c>
      <c r="C4" s="483"/>
      <c r="D4" s="483"/>
      <c r="E4" s="423">
        <v>1000000</v>
      </c>
      <c r="F4" s="141"/>
      <c r="G4" s="141" t="s">
        <v>724</v>
      </c>
      <c r="I4" s="424"/>
      <c r="L4" s="141" t="s">
        <v>725</v>
      </c>
      <c r="M4" s="141"/>
      <c r="N4" s="141"/>
      <c r="O4" s="141"/>
      <c r="P4" s="141"/>
      <c r="Q4" s="141"/>
    </row>
    <row r="5" spans="1:18" x14ac:dyDescent="0.3">
      <c r="L5" s="141"/>
      <c r="M5" s="141" t="s">
        <v>726</v>
      </c>
      <c r="N5" s="141"/>
      <c r="O5" s="141"/>
      <c r="P5" s="141"/>
      <c r="Q5" s="141"/>
    </row>
    <row r="6" spans="1:18" ht="27.75" customHeight="1" x14ac:dyDescent="0.3">
      <c r="G6" s="493" t="s">
        <v>727</v>
      </c>
      <c r="H6" s="493"/>
      <c r="I6" s="493"/>
      <c r="J6" s="493"/>
      <c r="L6" s="141"/>
      <c r="M6" s="141" t="s">
        <v>728</v>
      </c>
      <c r="N6" s="141"/>
      <c r="O6" s="141"/>
      <c r="P6" s="141"/>
      <c r="Q6" s="141"/>
    </row>
    <row r="7" spans="1:18" x14ac:dyDescent="0.3">
      <c r="F7" s="162" t="s">
        <v>133</v>
      </c>
      <c r="G7" s="425" t="s">
        <v>729</v>
      </c>
      <c r="H7" s="426" t="s">
        <v>730</v>
      </c>
      <c r="I7" s="426" t="s">
        <v>731</v>
      </c>
      <c r="J7" s="426" t="s">
        <v>732</v>
      </c>
      <c r="L7" s="141"/>
      <c r="M7" s="141" t="s">
        <v>733</v>
      </c>
      <c r="N7" s="141"/>
      <c r="O7" s="141"/>
      <c r="P7" s="141"/>
      <c r="Q7" s="141"/>
    </row>
    <row r="8" spans="1:18" x14ac:dyDescent="0.3">
      <c r="B8" s="424"/>
      <c r="E8" s="487" t="s">
        <v>734</v>
      </c>
      <c r="F8" s="427">
        <v>2014</v>
      </c>
      <c r="G8" s="428">
        <v>328.44629831400698</v>
      </c>
      <c r="H8" s="429">
        <v>1.73405662988856E-3</v>
      </c>
      <c r="I8" s="429">
        <v>0.17192827624901</v>
      </c>
      <c r="J8" s="430">
        <v>3.2669107171751301E-3</v>
      </c>
      <c r="L8" s="141"/>
      <c r="M8" s="141" t="s">
        <v>735</v>
      </c>
      <c r="N8" s="141"/>
      <c r="O8" s="141"/>
      <c r="P8" s="141"/>
      <c r="Q8" s="141"/>
    </row>
    <row r="9" spans="1:18" x14ac:dyDescent="0.3">
      <c r="E9" s="488"/>
      <c r="F9" s="427">
        <v>2015</v>
      </c>
      <c r="G9" s="428">
        <v>324.67601175697899</v>
      </c>
      <c r="H9" s="429">
        <v>1.6172975546287899E-3</v>
      </c>
      <c r="I9" s="429">
        <v>0.14559937520111399</v>
      </c>
      <c r="J9" s="430">
        <v>3.2129323363002601E-3</v>
      </c>
      <c r="L9" s="141"/>
      <c r="M9" s="141" t="s">
        <v>736</v>
      </c>
      <c r="N9" s="141"/>
      <c r="O9" s="141" t="s">
        <v>737</v>
      </c>
      <c r="P9" s="141"/>
      <c r="Q9" s="141"/>
    </row>
    <row r="10" spans="1:18" x14ac:dyDescent="0.3">
      <c r="E10" s="488"/>
      <c r="F10" s="427">
        <v>2016</v>
      </c>
      <c r="G10" s="428">
        <v>319.39442796014299</v>
      </c>
      <c r="H10" s="429">
        <v>1.5607809493554E-3</v>
      </c>
      <c r="I10" s="429">
        <v>0.124022079437623</v>
      </c>
      <c r="J10" s="430">
        <v>3.1608905347287001E-3</v>
      </c>
      <c r="L10" s="141"/>
      <c r="M10" s="141" t="s">
        <v>738</v>
      </c>
      <c r="N10" s="141"/>
      <c r="O10" s="141"/>
      <c r="P10" s="141"/>
      <c r="Q10" s="141"/>
    </row>
    <row r="11" spans="1:18" x14ac:dyDescent="0.3">
      <c r="E11" s="488"/>
      <c r="F11" s="427">
        <v>2017</v>
      </c>
      <c r="G11" s="428">
        <v>314.82588427989401</v>
      </c>
      <c r="H11" s="429">
        <v>1.5230000950113699E-3</v>
      </c>
      <c r="I11" s="429">
        <v>0.10353572616186001</v>
      </c>
      <c r="J11" s="430">
        <v>3.1140742606756799E-3</v>
      </c>
      <c r="L11" s="141"/>
      <c r="M11" s="141" t="s">
        <v>739</v>
      </c>
      <c r="N11" s="141"/>
      <c r="O11" s="141"/>
      <c r="P11" s="141"/>
      <c r="Q11" s="141"/>
    </row>
    <row r="12" spans="1:18" x14ac:dyDescent="0.3">
      <c r="E12" s="488"/>
      <c r="F12" s="427">
        <v>2018</v>
      </c>
      <c r="G12" s="428">
        <v>310.68258029462498</v>
      </c>
      <c r="H12" s="429">
        <v>1.5212831080284801E-3</v>
      </c>
      <c r="I12" s="429">
        <v>8.94339340537018E-2</v>
      </c>
      <c r="J12" s="430">
        <v>3.0769590794150399E-3</v>
      </c>
      <c r="L12" s="141"/>
      <c r="M12" s="141" t="s">
        <v>740</v>
      </c>
      <c r="N12" s="141"/>
      <c r="O12" s="141"/>
      <c r="P12" s="141"/>
      <c r="Q12" s="141"/>
    </row>
    <row r="13" spans="1:18" x14ac:dyDescent="0.3">
      <c r="E13" s="488"/>
      <c r="F13" s="427">
        <v>2019</v>
      </c>
      <c r="G13" s="428">
        <v>307.565069653394</v>
      </c>
      <c r="H13" s="429">
        <v>1.5176845522545E-3</v>
      </c>
      <c r="I13" s="429">
        <v>7.75448952565604E-2</v>
      </c>
      <c r="J13" s="430">
        <v>3.04354418534678E-3</v>
      </c>
      <c r="L13" s="141"/>
      <c r="M13" s="141" t="s">
        <v>741</v>
      </c>
      <c r="N13" s="141"/>
      <c r="O13" s="141"/>
      <c r="P13" s="141"/>
      <c r="Q13" s="141"/>
    </row>
    <row r="14" spans="1:18" x14ac:dyDescent="0.3">
      <c r="E14" s="488"/>
      <c r="F14" s="427">
        <v>2020</v>
      </c>
      <c r="G14" s="428">
        <v>304.69692653982099</v>
      </c>
      <c r="H14" s="429">
        <v>1.4950824958190299E-3</v>
      </c>
      <c r="I14" s="429">
        <v>6.8916612126596999E-2</v>
      </c>
      <c r="J14" s="430">
        <v>3.01223932423752E-3</v>
      </c>
    </row>
    <row r="15" spans="1:18" x14ac:dyDescent="0.3">
      <c r="E15" s="488"/>
      <c r="F15" s="427">
        <v>2021</v>
      </c>
      <c r="G15" s="428">
        <v>300.80410579120098</v>
      </c>
      <c r="H15" s="429">
        <v>1.4410680415483899E-3</v>
      </c>
      <c r="I15" s="429">
        <v>6.1012074815011898E-2</v>
      </c>
      <c r="J15" s="430">
        <v>2.97375482794028E-3</v>
      </c>
    </row>
    <row r="16" spans="1:18" x14ac:dyDescent="0.3">
      <c r="E16" s="489"/>
      <c r="F16" s="427">
        <v>2022</v>
      </c>
      <c r="G16" s="428">
        <v>295.997138867687</v>
      </c>
      <c r="H16" s="429">
        <v>1.3846101180658901E-3</v>
      </c>
      <c r="I16" s="429">
        <v>5.39806099700154E-2</v>
      </c>
      <c r="J16" s="430">
        <v>2.9262330660316501E-3</v>
      </c>
    </row>
    <row r="17" spans="5:10" x14ac:dyDescent="0.3">
      <c r="E17" s="490" t="s">
        <v>742</v>
      </c>
      <c r="F17" s="431">
        <v>2023</v>
      </c>
      <c r="G17" s="432">
        <v>290.705553777462</v>
      </c>
      <c r="H17" s="433">
        <v>1.33457527621843E-3</v>
      </c>
      <c r="I17" s="433">
        <v>4.8051867247953302E-2</v>
      </c>
      <c r="J17" s="171">
        <v>2.87392036016574E-3</v>
      </c>
    </row>
    <row r="18" spans="5:10" x14ac:dyDescent="0.3">
      <c r="E18" s="491"/>
      <c r="F18" s="431">
        <v>2024</v>
      </c>
      <c r="G18" s="432">
        <v>284.97133792073998</v>
      </c>
      <c r="H18" s="433">
        <v>1.2878046286437701E-3</v>
      </c>
      <c r="I18" s="433">
        <v>4.3150184809723699E-2</v>
      </c>
      <c r="J18" s="171">
        <v>2.8172317985401402E-3</v>
      </c>
    </row>
    <row r="19" spans="5:10" x14ac:dyDescent="0.3">
      <c r="E19" s="491"/>
      <c r="F19" s="431">
        <v>2025</v>
      </c>
      <c r="G19" s="432">
        <v>279.05933576273702</v>
      </c>
      <c r="H19" s="433">
        <v>1.24972679155138E-3</v>
      </c>
      <c r="I19" s="433">
        <v>3.9222413859692197E-2</v>
      </c>
      <c r="J19" s="171">
        <v>2.7587856383259599E-3</v>
      </c>
    </row>
    <row r="20" spans="5:10" x14ac:dyDescent="0.3">
      <c r="E20" s="491"/>
      <c r="F20" s="431">
        <v>2026</v>
      </c>
      <c r="G20" s="432">
        <v>273.20003811048002</v>
      </c>
      <c r="H20" s="433">
        <v>1.2046661251091E-3</v>
      </c>
      <c r="I20" s="433">
        <v>3.6020549703118902E-2</v>
      </c>
      <c r="J20" s="171">
        <v>2.7008605158084101E-3</v>
      </c>
    </row>
    <row r="21" spans="5:10" x14ac:dyDescent="0.3">
      <c r="E21" s="491"/>
      <c r="F21" s="431">
        <v>2027</v>
      </c>
      <c r="G21" s="432">
        <v>267.91911556570898</v>
      </c>
      <c r="H21" s="433">
        <v>1.1524083375939E-3</v>
      </c>
      <c r="I21" s="433">
        <v>3.3402364531436399E-2</v>
      </c>
      <c r="J21" s="171">
        <v>2.6486532200596098E-3</v>
      </c>
    </row>
    <row r="22" spans="5:10" x14ac:dyDescent="0.3">
      <c r="E22" s="491"/>
      <c r="F22" s="431">
        <v>2028</v>
      </c>
      <c r="G22" s="432">
        <v>262.88244772975401</v>
      </c>
      <c r="H22" s="433">
        <v>1.0888204460800699E-3</v>
      </c>
      <c r="I22" s="433">
        <v>3.1260994774712898E-2</v>
      </c>
      <c r="J22" s="171">
        <v>2.59886063077794E-3</v>
      </c>
    </row>
    <row r="23" spans="5:10" x14ac:dyDescent="0.3">
      <c r="E23" s="491"/>
      <c r="F23" s="431">
        <v>2029</v>
      </c>
      <c r="G23" s="432">
        <v>258.30627849797997</v>
      </c>
      <c r="H23" s="433">
        <v>1.0261855713921499E-3</v>
      </c>
      <c r="I23" s="433">
        <v>2.9466767163193599E-2</v>
      </c>
      <c r="J23" s="171">
        <v>2.5536205390223302E-3</v>
      </c>
    </row>
    <row r="24" spans="5:10" x14ac:dyDescent="0.3">
      <c r="E24" s="491"/>
      <c r="F24" s="431">
        <v>2030</v>
      </c>
      <c r="G24" s="432">
        <v>254.146667196626</v>
      </c>
      <c r="H24" s="433">
        <v>9.65849308705224E-4</v>
      </c>
      <c r="I24" s="433">
        <v>2.7988411571592899E-2</v>
      </c>
      <c r="J24" s="171">
        <v>2.51249854649759E-3</v>
      </c>
    </row>
    <row r="25" spans="5:10" x14ac:dyDescent="0.3">
      <c r="E25" s="491"/>
      <c r="F25" s="431">
        <v>2031</v>
      </c>
      <c r="G25" s="432">
        <v>250.37701230542001</v>
      </c>
      <c r="H25" s="433">
        <v>9.0850227031890696E-4</v>
      </c>
      <c r="I25" s="433">
        <v>2.67448985874322E-2</v>
      </c>
      <c r="J25" s="171">
        <v>2.4752316700934001E-3</v>
      </c>
    </row>
    <row r="26" spans="5:10" x14ac:dyDescent="0.3">
      <c r="E26" s="491"/>
      <c r="F26" s="431">
        <v>2032</v>
      </c>
      <c r="G26" s="432">
        <v>247.01317427848599</v>
      </c>
      <c r="H26" s="433">
        <v>8.5394990011735902E-4</v>
      </c>
      <c r="I26" s="433">
        <v>2.5673567428066899E-2</v>
      </c>
      <c r="J26" s="171">
        <v>2.44197670654597E-3</v>
      </c>
    </row>
    <row r="27" spans="5:10" x14ac:dyDescent="0.3">
      <c r="E27" s="491"/>
      <c r="F27" s="431">
        <v>2033</v>
      </c>
      <c r="G27" s="432">
        <v>244.07219207008899</v>
      </c>
      <c r="H27" s="433">
        <v>8.0322763316205599E-4</v>
      </c>
      <c r="I27" s="433">
        <v>2.4768090143685299E-2</v>
      </c>
      <c r="J27" s="171">
        <v>2.4129021032652E-3</v>
      </c>
    </row>
    <row r="28" spans="5:10" x14ac:dyDescent="0.3">
      <c r="E28" s="491"/>
      <c r="F28" s="431">
        <v>2034</v>
      </c>
      <c r="G28" s="432">
        <v>241.421004489213</v>
      </c>
      <c r="H28" s="433">
        <v>7.5492167692985503E-4</v>
      </c>
      <c r="I28" s="433">
        <v>2.3963218926278701E-2</v>
      </c>
      <c r="J28" s="171">
        <v>2.3866924149111499E-3</v>
      </c>
    </row>
    <row r="29" spans="5:10" x14ac:dyDescent="0.3">
      <c r="E29" s="491"/>
      <c r="F29" s="431">
        <v>2035</v>
      </c>
      <c r="G29" s="432">
        <v>239.09563103667699</v>
      </c>
      <c r="H29" s="433">
        <v>7.1020136423107904E-4</v>
      </c>
      <c r="I29" s="433">
        <v>2.3240139064482301E-2</v>
      </c>
      <c r="J29" s="171">
        <v>2.3637037309201E-3</v>
      </c>
    </row>
    <row r="30" spans="5:10" x14ac:dyDescent="0.3">
      <c r="E30" s="491"/>
      <c r="F30" s="431">
        <v>2036</v>
      </c>
      <c r="G30" s="432">
        <v>237.10187884094799</v>
      </c>
      <c r="H30" s="433">
        <v>6.7105229632804598E-4</v>
      </c>
      <c r="I30" s="433">
        <v>2.2592704194294901E-2</v>
      </c>
      <c r="J30" s="171">
        <v>2.3439934606690701E-3</v>
      </c>
    </row>
    <row r="31" spans="5:10" x14ac:dyDescent="0.3">
      <c r="E31" s="491"/>
      <c r="F31" s="431">
        <v>2037</v>
      </c>
      <c r="G31" s="432">
        <v>235.37421540677499</v>
      </c>
      <c r="H31" s="433">
        <v>6.3603489648321704E-4</v>
      </c>
      <c r="I31" s="433">
        <v>2.2052147558995702E-2</v>
      </c>
      <c r="J31" s="171">
        <v>2.32691374872527E-3</v>
      </c>
    </row>
    <row r="32" spans="5:10" x14ac:dyDescent="0.3">
      <c r="E32" s="491"/>
      <c r="F32" s="431">
        <v>2038</v>
      </c>
      <c r="G32" s="432">
        <v>233.88843360412201</v>
      </c>
      <c r="H32" s="433">
        <v>6.0548323819952096E-4</v>
      </c>
      <c r="I32" s="433">
        <v>2.1580553415183699E-2</v>
      </c>
      <c r="J32" s="171">
        <v>2.31222528296352E-3</v>
      </c>
    </row>
    <row r="33" spans="5:10" x14ac:dyDescent="0.3">
      <c r="E33" s="491"/>
      <c r="F33" s="431">
        <v>2039</v>
      </c>
      <c r="G33" s="432">
        <v>232.663459007819</v>
      </c>
      <c r="H33" s="433">
        <v>5.7881773833927202E-4</v>
      </c>
      <c r="I33" s="433">
        <v>2.1164782628057401E-2</v>
      </c>
      <c r="J33" s="171">
        <v>2.3001151619587599E-3</v>
      </c>
    </row>
    <row r="34" spans="5:10" x14ac:dyDescent="0.3">
      <c r="E34" s="491"/>
      <c r="F34" s="431">
        <v>2040</v>
      </c>
      <c r="G34" s="432">
        <v>231.645977839068</v>
      </c>
      <c r="H34" s="433">
        <v>5.5587807417911803E-4</v>
      </c>
      <c r="I34" s="433">
        <v>2.07810970304599E-2</v>
      </c>
      <c r="J34" s="171">
        <v>2.2900563247299499E-3</v>
      </c>
    </row>
    <row r="35" spans="5:10" x14ac:dyDescent="0.3">
      <c r="E35" s="491"/>
      <c r="F35" s="431">
        <v>2041</v>
      </c>
      <c r="G35" s="432">
        <v>230.74607684336999</v>
      </c>
      <c r="H35" s="433">
        <v>5.3689222194131198E-4</v>
      </c>
      <c r="I35" s="433">
        <v>2.04397542139351E-2</v>
      </c>
      <c r="J35" s="171">
        <v>2.2811598872176202E-3</v>
      </c>
    </row>
    <row r="36" spans="5:10" x14ac:dyDescent="0.3">
      <c r="E36" s="491"/>
      <c r="F36" s="431">
        <v>2042</v>
      </c>
      <c r="G36" s="432">
        <v>230.068774135338</v>
      </c>
      <c r="H36" s="433">
        <v>5.2178081289097795E-4</v>
      </c>
      <c r="I36" s="433">
        <v>2.0151842629401201E-2</v>
      </c>
      <c r="J36" s="171">
        <v>2.27446406040139E-3</v>
      </c>
    </row>
    <row r="37" spans="5:10" x14ac:dyDescent="0.3">
      <c r="E37" s="491"/>
      <c r="F37" s="431">
        <v>2043</v>
      </c>
      <c r="G37" s="432">
        <v>229.52395342501799</v>
      </c>
      <c r="H37" s="433">
        <v>5.0935214201653701E-4</v>
      </c>
      <c r="I37" s="433">
        <v>1.9923038730511201E-2</v>
      </c>
      <c r="J37" s="171">
        <v>2.26907795300962E-3</v>
      </c>
    </row>
    <row r="38" spans="5:10" x14ac:dyDescent="0.3">
      <c r="E38" s="491"/>
      <c r="F38" s="431">
        <v>2044</v>
      </c>
      <c r="G38" s="432">
        <v>229.089930832487</v>
      </c>
      <c r="H38" s="433">
        <v>4.9924569486162901E-4</v>
      </c>
      <c r="I38" s="433">
        <v>1.97541184054492E-2</v>
      </c>
      <c r="J38" s="171">
        <v>2.2647871978133801E-3</v>
      </c>
    </row>
    <row r="39" spans="5:10" x14ac:dyDescent="0.3">
      <c r="E39" s="491"/>
      <c r="F39" s="431">
        <v>2045</v>
      </c>
      <c r="G39" s="432">
        <v>228.74174933573801</v>
      </c>
      <c r="H39" s="433">
        <v>4.9103548705935402E-4</v>
      </c>
      <c r="I39" s="433">
        <v>1.9626076330621401E-2</v>
      </c>
      <c r="J39" s="171">
        <v>2.26134506924192E-3</v>
      </c>
    </row>
    <row r="40" spans="5:10" x14ac:dyDescent="0.3">
      <c r="E40" s="491"/>
      <c r="F40" s="431">
        <v>2046</v>
      </c>
      <c r="G40" s="432">
        <v>228.46576605887401</v>
      </c>
      <c r="H40" s="433">
        <v>4.8448096198545101E-4</v>
      </c>
      <c r="I40" s="433">
        <v>1.9523910756936401E-2</v>
      </c>
      <c r="J40" s="171">
        <v>2.2586166935774799E-3</v>
      </c>
    </row>
    <row r="41" spans="5:10" x14ac:dyDescent="0.3">
      <c r="E41" s="491"/>
      <c r="F41" s="431">
        <v>2047</v>
      </c>
      <c r="G41" s="432">
        <v>228.24647901523301</v>
      </c>
      <c r="H41" s="433">
        <v>4.7927135103899299E-4</v>
      </c>
      <c r="I41" s="433">
        <v>1.94398030255142E-2</v>
      </c>
      <c r="J41" s="171">
        <v>2.2564488178996602E-3</v>
      </c>
    </row>
    <row r="42" spans="5:10" x14ac:dyDescent="0.3">
      <c r="E42" s="491"/>
      <c r="F42" s="431">
        <v>2048</v>
      </c>
      <c r="G42" s="434">
        <v>228.07023638341701</v>
      </c>
      <c r="H42" s="433">
        <v>4.7512791952582798E-4</v>
      </c>
      <c r="I42" s="433">
        <v>1.9371570454886002E-2</v>
      </c>
      <c r="J42" s="171">
        <v>2.2547064800553201E-3</v>
      </c>
    </row>
    <row r="43" spans="5:10" x14ac:dyDescent="0.3">
      <c r="E43" s="491"/>
      <c r="F43" s="431">
        <v>2049</v>
      </c>
      <c r="G43" s="434">
        <v>227.92692167587501</v>
      </c>
      <c r="H43" s="433">
        <v>4.7229902669863497E-4</v>
      </c>
      <c r="I43" s="433">
        <v>1.9360668553908101E-2</v>
      </c>
      <c r="J43" s="171">
        <v>2.2532896682656502E-3</v>
      </c>
    </row>
    <row r="44" spans="5:10" x14ac:dyDescent="0.3">
      <c r="E44" s="492"/>
      <c r="F44" s="431">
        <v>2050</v>
      </c>
      <c r="G44" s="434">
        <v>227.808756470351</v>
      </c>
      <c r="H44" s="433">
        <v>4.7011297624866298E-4</v>
      </c>
      <c r="I44" s="433">
        <v>1.9352726891234E-2</v>
      </c>
      <c r="J44" s="171">
        <v>2.2521214849075899E-3</v>
      </c>
    </row>
    <row r="46" spans="5:10" x14ac:dyDescent="0.3">
      <c r="G46" s="3" t="s">
        <v>743</v>
      </c>
      <c r="H46" s="3" t="s">
        <v>744</v>
      </c>
    </row>
    <row r="47" spans="5:10" x14ac:dyDescent="0.3">
      <c r="G47" s="3" t="s">
        <v>745</v>
      </c>
      <c r="H47" s="3" t="s">
        <v>746</v>
      </c>
    </row>
    <row r="49" spans="5:11" x14ac:dyDescent="0.3">
      <c r="G49" s="477" t="s">
        <v>747</v>
      </c>
      <c r="H49" s="477"/>
      <c r="I49" s="477"/>
      <c r="J49" s="477"/>
    </row>
    <row r="50" spans="5:11" x14ac:dyDescent="0.3">
      <c r="F50" s="194" t="s">
        <v>133</v>
      </c>
      <c r="G50" s="425" t="s">
        <v>729</v>
      </c>
      <c r="H50" s="426" t="s">
        <v>748</v>
      </c>
      <c r="I50" s="426" t="s">
        <v>731</v>
      </c>
      <c r="J50" s="426" t="s">
        <v>732</v>
      </c>
    </row>
    <row r="51" spans="5:11" x14ac:dyDescent="0.3">
      <c r="E51" s="487" t="s">
        <v>734</v>
      </c>
      <c r="F51" s="427">
        <v>2014</v>
      </c>
      <c r="G51" s="435">
        <v>1571.76501361438</v>
      </c>
      <c r="H51" s="429">
        <v>0.22594147341016901</v>
      </c>
      <c r="I51" s="429">
        <v>7.1523826615836903</v>
      </c>
      <c r="J51" s="436">
        <v>1.48317926612993E-2</v>
      </c>
      <c r="K51" s="424"/>
    </row>
    <row r="52" spans="5:11" x14ac:dyDescent="0.3">
      <c r="E52" s="488"/>
      <c r="F52" s="427">
        <v>2015</v>
      </c>
      <c r="G52" s="435">
        <v>1574.74081516967</v>
      </c>
      <c r="H52" s="429">
        <v>0.19546051889052199</v>
      </c>
      <c r="I52" s="429">
        <v>6.2647648153256599</v>
      </c>
      <c r="J52" s="436">
        <v>1.4877370392148599E-2</v>
      </c>
    </row>
    <row r="53" spans="5:11" x14ac:dyDescent="0.3">
      <c r="E53" s="488"/>
      <c r="F53" s="427">
        <v>2016</v>
      </c>
      <c r="G53" s="435">
        <v>1582.6302566587301</v>
      </c>
      <c r="H53" s="429">
        <v>0.163337764153027</v>
      </c>
      <c r="I53" s="429">
        <v>5.3207345043832701</v>
      </c>
      <c r="J53" s="436">
        <v>1.4959227136259899E-2</v>
      </c>
    </row>
    <row r="54" spans="5:11" x14ac:dyDescent="0.3">
      <c r="E54" s="488"/>
      <c r="F54" s="427">
        <v>2017</v>
      </c>
      <c r="G54" s="435">
        <v>1592.70956520297</v>
      </c>
      <c r="H54" s="429">
        <v>0.13485121931727501</v>
      </c>
      <c r="I54" s="429">
        <v>4.6212634317186101</v>
      </c>
      <c r="J54" s="436">
        <v>1.50558542550357E-2</v>
      </c>
    </row>
    <row r="55" spans="5:11" x14ac:dyDescent="0.3">
      <c r="E55" s="488"/>
      <c r="F55" s="427">
        <v>2018</v>
      </c>
      <c r="G55" s="435">
        <v>1602.8199223270301</v>
      </c>
      <c r="H55" s="429">
        <v>0.114835529615437</v>
      </c>
      <c r="I55" s="429">
        <v>3.9666043545704199</v>
      </c>
      <c r="J55" s="436">
        <v>1.5156644065780199E-2</v>
      </c>
    </row>
    <row r="56" spans="5:11" x14ac:dyDescent="0.3">
      <c r="E56" s="488"/>
      <c r="F56" s="427">
        <v>2019</v>
      </c>
      <c r="G56" s="435">
        <v>1605.45551963496</v>
      </c>
      <c r="H56" s="429">
        <v>0.10345596146493</v>
      </c>
      <c r="I56" s="429">
        <v>3.8238382715466002</v>
      </c>
      <c r="J56" s="436">
        <v>1.51890330779943E-2</v>
      </c>
    </row>
    <row r="57" spans="5:11" x14ac:dyDescent="0.3">
      <c r="E57" s="488"/>
      <c r="F57" s="427">
        <v>2020</v>
      </c>
      <c r="G57" s="435">
        <v>1607.12120220207</v>
      </c>
      <c r="H57" s="429">
        <v>7.5209973166788804E-2</v>
      </c>
      <c r="I57" s="429">
        <v>2.84192272248906</v>
      </c>
      <c r="J57" s="436">
        <v>1.5218476743841801E-2</v>
      </c>
    </row>
    <row r="58" spans="5:11" x14ac:dyDescent="0.3">
      <c r="E58" s="488"/>
      <c r="F58" s="427">
        <v>2021</v>
      </c>
      <c r="G58" s="435">
        <v>1599.67838120496</v>
      </c>
      <c r="H58" s="429">
        <v>4.9540164184757297E-2</v>
      </c>
      <c r="I58" s="429">
        <v>2.13269570836311</v>
      </c>
      <c r="J58" s="436">
        <v>1.51479976797252E-2</v>
      </c>
    </row>
    <row r="59" spans="5:11" x14ac:dyDescent="0.3">
      <c r="E59" s="489"/>
      <c r="F59" s="427">
        <v>2022</v>
      </c>
      <c r="G59" s="435">
        <v>1578.0470947014901</v>
      </c>
      <c r="H59" s="429">
        <v>3.00080357738878E-2</v>
      </c>
      <c r="I59" s="429">
        <v>1.6836232606597701</v>
      </c>
      <c r="J59" s="436">
        <v>1.49431623318115E-2</v>
      </c>
    </row>
    <row r="60" spans="5:11" x14ac:dyDescent="0.3">
      <c r="E60" s="490" t="s">
        <v>742</v>
      </c>
      <c r="F60" s="162">
        <v>2023</v>
      </c>
      <c r="G60" s="437">
        <v>1548.9094249295599</v>
      </c>
      <c r="H60" s="433">
        <v>2.9359886042412901E-2</v>
      </c>
      <c r="I60" s="433">
        <v>1.50121667150267</v>
      </c>
      <c r="J60" s="438">
        <v>1.46672460230812E-2</v>
      </c>
    </row>
    <row r="61" spans="5:11" x14ac:dyDescent="0.3">
      <c r="E61" s="491"/>
      <c r="F61" s="162">
        <v>2024</v>
      </c>
      <c r="G61" s="437">
        <v>1516.48337337526</v>
      </c>
      <c r="H61" s="433">
        <v>2.9168973552384299E-2</v>
      </c>
      <c r="I61" s="433">
        <v>1.4655379730898801</v>
      </c>
      <c r="J61" s="438">
        <v>1.4360190705288401E-2</v>
      </c>
    </row>
    <row r="62" spans="5:11" x14ac:dyDescent="0.3">
      <c r="E62" s="491"/>
      <c r="F62" s="162">
        <v>2025</v>
      </c>
      <c r="G62" s="437">
        <v>1479.28308880396</v>
      </c>
      <c r="H62" s="433">
        <v>2.8865465543755402E-2</v>
      </c>
      <c r="I62" s="433">
        <v>1.4361726027574</v>
      </c>
      <c r="J62" s="438">
        <v>1.40079262557641E-2</v>
      </c>
    </row>
    <row r="63" spans="5:11" x14ac:dyDescent="0.3">
      <c r="E63" s="491"/>
      <c r="F63" s="162">
        <v>2026</v>
      </c>
      <c r="G63" s="437">
        <v>1444.2754359059199</v>
      </c>
      <c r="H63" s="433">
        <v>2.88167050445194E-2</v>
      </c>
      <c r="I63" s="433">
        <v>1.41239581326621</v>
      </c>
      <c r="J63" s="438">
        <v>1.3676424717015599E-2</v>
      </c>
    </row>
    <row r="64" spans="5:11" x14ac:dyDescent="0.3">
      <c r="E64" s="491"/>
      <c r="F64" s="162">
        <v>2027</v>
      </c>
      <c r="G64" s="437">
        <v>1409.04269003336</v>
      </c>
      <c r="H64" s="433">
        <v>2.87987601228261E-2</v>
      </c>
      <c r="I64" s="433">
        <v>1.3917638790948501</v>
      </c>
      <c r="J64" s="438">
        <v>1.33427916824015E-2</v>
      </c>
    </row>
    <row r="65" spans="5:10" x14ac:dyDescent="0.3">
      <c r="E65" s="491"/>
      <c r="F65" s="162">
        <v>2028</v>
      </c>
      <c r="G65" s="437">
        <v>1373.75207218426</v>
      </c>
      <c r="H65" s="433">
        <v>2.8709995924045498E-2</v>
      </c>
      <c r="I65" s="433">
        <v>1.3754109829301</v>
      </c>
      <c r="J65" s="438">
        <v>1.3008610634776501E-2</v>
      </c>
    </row>
    <row r="66" spans="5:10" x14ac:dyDescent="0.3">
      <c r="E66" s="491"/>
      <c r="F66" s="162">
        <v>2029</v>
      </c>
      <c r="G66" s="437">
        <v>1343.34549777547</v>
      </c>
      <c r="H66" s="433">
        <v>2.8614246317188501E-2</v>
      </c>
      <c r="I66" s="433">
        <v>1.3616945169971399</v>
      </c>
      <c r="J66" s="438">
        <v>1.27206785579263E-2</v>
      </c>
    </row>
    <row r="67" spans="5:10" x14ac:dyDescent="0.3">
      <c r="E67" s="491"/>
      <c r="F67" s="162">
        <v>2030</v>
      </c>
      <c r="G67" s="437">
        <v>1317.8762225118201</v>
      </c>
      <c r="H67" s="433">
        <v>2.85241976011298E-2</v>
      </c>
      <c r="I67" s="433">
        <v>1.35022773176448</v>
      </c>
      <c r="J67" s="438">
        <v>1.24794997515293E-2</v>
      </c>
    </row>
    <row r="68" spans="5:10" x14ac:dyDescent="0.3">
      <c r="E68" s="491"/>
      <c r="F68" s="162">
        <v>2031</v>
      </c>
      <c r="G68" s="437">
        <v>1296.7156931929301</v>
      </c>
      <c r="H68" s="433">
        <v>2.8434553709115899E-2</v>
      </c>
      <c r="I68" s="433">
        <v>1.3407262035131</v>
      </c>
      <c r="J68" s="438">
        <v>1.2279122192646E-2</v>
      </c>
    </row>
    <row r="69" spans="5:10" x14ac:dyDescent="0.3">
      <c r="E69" s="491"/>
      <c r="F69" s="162">
        <v>2032</v>
      </c>
      <c r="G69" s="437">
        <v>1279.4607142831701</v>
      </c>
      <c r="H69" s="433">
        <v>2.8333341574873799E-2</v>
      </c>
      <c r="I69" s="433">
        <v>1.3322671549937</v>
      </c>
      <c r="J69" s="438">
        <v>1.21157278606603E-2</v>
      </c>
    </row>
    <row r="70" spans="5:10" x14ac:dyDescent="0.3">
      <c r="E70" s="491"/>
      <c r="F70" s="162">
        <v>2033</v>
      </c>
      <c r="G70" s="437">
        <v>1265.7620264557299</v>
      </c>
      <c r="H70" s="433">
        <v>2.8268553377579601E-2</v>
      </c>
      <c r="I70" s="433">
        <v>1.3247927381518201</v>
      </c>
      <c r="J70" s="438">
        <v>1.1986009478600901E-2</v>
      </c>
    </row>
    <row r="71" spans="5:10" x14ac:dyDescent="0.3">
      <c r="E71" s="491"/>
      <c r="F71" s="162">
        <v>2034</v>
      </c>
      <c r="G71" s="437">
        <v>1254.9688978409199</v>
      </c>
      <c r="H71" s="433">
        <v>2.8195947604060301E-2</v>
      </c>
      <c r="I71" s="433">
        <v>1.3196394250949901</v>
      </c>
      <c r="J71" s="438">
        <v>1.1883805004792299E-2</v>
      </c>
    </row>
    <row r="72" spans="5:10" x14ac:dyDescent="0.3">
      <c r="E72" s="491"/>
      <c r="F72" s="162">
        <v>2035</v>
      </c>
      <c r="G72" s="437">
        <v>1246.51073745233</v>
      </c>
      <c r="H72" s="433">
        <v>2.81368830308238E-2</v>
      </c>
      <c r="I72" s="433">
        <v>1.3155984646036101</v>
      </c>
      <c r="J72" s="438">
        <v>1.1803711283800301E-2</v>
      </c>
    </row>
    <row r="73" spans="5:10" x14ac:dyDescent="0.3">
      <c r="E73" s="491"/>
      <c r="F73" s="162">
        <v>2036</v>
      </c>
      <c r="G73" s="437">
        <v>1239.5444021963999</v>
      </c>
      <c r="H73" s="433">
        <v>2.8020165531835801E-2</v>
      </c>
      <c r="I73" s="433">
        <v>1.3100976734296601</v>
      </c>
      <c r="J73" s="438">
        <v>1.17377442547195E-2</v>
      </c>
    </row>
    <row r="74" spans="5:10" x14ac:dyDescent="0.3">
      <c r="E74" s="491"/>
      <c r="F74" s="162">
        <v>2037</v>
      </c>
      <c r="G74" s="437">
        <v>1234.39903100998</v>
      </c>
      <c r="H74" s="433">
        <v>2.7963668857716499E-2</v>
      </c>
      <c r="I74" s="433">
        <v>1.3070221221442999</v>
      </c>
      <c r="J74" s="438">
        <v>1.168902066646E-2</v>
      </c>
    </row>
    <row r="75" spans="5:10" x14ac:dyDescent="0.3">
      <c r="E75" s="491"/>
      <c r="F75" s="162">
        <v>2038</v>
      </c>
      <c r="G75" s="437">
        <v>1229.9051463702999</v>
      </c>
      <c r="H75" s="433">
        <v>2.7742876757764399E-2</v>
      </c>
      <c r="I75" s="433">
        <v>1.30363075150818</v>
      </c>
      <c r="J75" s="438">
        <v>1.16464662662165E-2</v>
      </c>
    </row>
    <row r="76" spans="5:10" x14ac:dyDescent="0.3">
      <c r="E76" s="491"/>
      <c r="F76" s="162">
        <v>2039</v>
      </c>
      <c r="G76" s="437">
        <v>1226.7839835561699</v>
      </c>
      <c r="H76" s="433">
        <v>2.7680035250208301E-2</v>
      </c>
      <c r="I76" s="433">
        <v>1.30098070717771</v>
      </c>
      <c r="J76" s="438">
        <v>1.1616910720788199E-2</v>
      </c>
    </row>
    <row r="77" spans="5:10" x14ac:dyDescent="0.3">
      <c r="E77" s="491"/>
      <c r="F77" s="162">
        <v>2040</v>
      </c>
      <c r="G77" s="437">
        <v>1224.35686942546</v>
      </c>
      <c r="H77" s="433">
        <v>2.76173773722211E-2</v>
      </c>
      <c r="I77" s="433">
        <v>1.2985594392056901</v>
      </c>
      <c r="J77" s="438">
        <v>1.15939274013581E-2</v>
      </c>
    </row>
    <row r="78" spans="5:10" x14ac:dyDescent="0.3">
      <c r="E78" s="491"/>
      <c r="F78" s="162">
        <v>2041</v>
      </c>
      <c r="G78" s="437">
        <v>1222.4764561617101</v>
      </c>
      <c r="H78" s="433">
        <v>2.7555835364664001E-2</v>
      </c>
      <c r="I78" s="433">
        <v>1.2963413641849899</v>
      </c>
      <c r="J78" s="438">
        <v>1.1576121012217101E-2</v>
      </c>
    </row>
    <row r="79" spans="5:10" x14ac:dyDescent="0.3">
      <c r="E79" s="491"/>
      <c r="F79" s="162">
        <v>2042</v>
      </c>
      <c r="G79" s="437">
        <v>1221.0275224795801</v>
      </c>
      <c r="H79" s="433">
        <v>2.75034178638267E-2</v>
      </c>
      <c r="I79" s="433">
        <v>1.2945485118225499</v>
      </c>
      <c r="J79" s="438">
        <v>1.1562400476694001E-2</v>
      </c>
    </row>
    <row r="80" spans="5:10" x14ac:dyDescent="0.3">
      <c r="E80" s="491"/>
      <c r="F80" s="162">
        <v>2043</v>
      </c>
      <c r="G80" s="235">
        <v>1219.9122992309799</v>
      </c>
      <c r="H80" s="433">
        <v>2.74631968424803E-2</v>
      </c>
      <c r="I80" s="433">
        <v>1.29320202593408</v>
      </c>
      <c r="J80" s="438">
        <v>1.1551839979421099E-2</v>
      </c>
    </row>
    <row r="81" spans="5:10" x14ac:dyDescent="0.3">
      <c r="E81" s="491"/>
      <c r="F81" s="162">
        <v>2044</v>
      </c>
      <c r="G81" s="235">
        <v>1219.0585372073899</v>
      </c>
      <c r="H81" s="433">
        <v>2.7435977049178498E-2</v>
      </c>
      <c r="I81" s="433">
        <v>1.2922798791760499</v>
      </c>
      <c r="J81" s="438">
        <v>1.1543755363598101E-2</v>
      </c>
    </row>
    <row r="82" spans="5:10" x14ac:dyDescent="0.3">
      <c r="E82" s="491"/>
      <c r="F82" s="162">
        <v>2045</v>
      </c>
      <c r="G82" s="235">
        <v>1218.4079876194401</v>
      </c>
      <c r="H82" s="433">
        <v>2.7422547360958002E-2</v>
      </c>
      <c r="I82" s="433">
        <v>1.2917781012140199</v>
      </c>
      <c r="J82" s="438">
        <v>1.15375950480218E-2</v>
      </c>
    </row>
    <row r="83" spans="5:10" x14ac:dyDescent="0.3">
      <c r="E83" s="491"/>
      <c r="F83" s="162">
        <v>2046</v>
      </c>
      <c r="G83" s="235">
        <v>1217.91195315194</v>
      </c>
      <c r="H83" s="433">
        <v>2.7420026184795901E-2</v>
      </c>
      <c r="I83" s="433">
        <v>1.29157798766111</v>
      </c>
      <c r="J83" s="438">
        <v>1.15328978982378E-2</v>
      </c>
    </row>
    <row r="84" spans="5:10" x14ac:dyDescent="0.3">
      <c r="E84" s="491"/>
      <c r="F84" s="162">
        <v>2047</v>
      </c>
      <c r="G84" s="235">
        <v>1217.5330750492899</v>
      </c>
      <c r="H84" s="433">
        <v>2.7424787110357701E-2</v>
      </c>
      <c r="I84" s="433">
        <v>1.29156395995463</v>
      </c>
      <c r="J84" s="438">
        <v>1.1529310149170699E-2</v>
      </c>
    </row>
    <row r="85" spans="5:10" x14ac:dyDescent="0.3">
      <c r="E85" s="491"/>
      <c r="F85" s="162">
        <v>2048</v>
      </c>
      <c r="G85" s="235">
        <v>1217.24301191275</v>
      </c>
      <c r="H85" s="433">
        <v>2.7433925273215198E-2</v>
      </c>
      <c r="I85" s="433">
        <v>1.29165523923748</v>
      </c>
      <c r="J85" s="438">
        <v>1.1526563424722301E-2</v>
      </c>
    </row>
    <row r="86" spans="5:10" x14ac:dyDescent="0.3">
      <c r="E86" s="491"/>
      <c r="F86" s="162">
        <v>2049</v>
      </c>
      <c r="G86" s="235">
        <v>1217.0202179816699</v>
      </c>
      <c r="H86" s="433">
        <v>2.7443726512424702E-2</v>
      </c>
      <c r="I86" s="433">
        <v>1.2917453586982499</v>
      </c>
      <c r="J86" s="438">
        <v>1.1524453699423299E-2</v>
      </c>
    </row>
    <row r="87" spans="5:10" x14ac:dyDescent="0.3">
      <c r="E87" s="492"/>
      <c r="F87" s="162">
        <v>2050</v>
      </c>
      <c r="G87" s="235">
        <v>1216.84848177187</v>
      </c>
      <c r="H87" s="433">
        <v>2.7452607596506501E-2</v>
      </c>
      <c r="I87" s="433">
        <v>1.2918062375117101</v>
      </c>
      <c r="J87" s="438">
        <v>1.15228274602129E-2</v>
      </c>
    </row>
    <row r="90" spans="5:10" x14ac:dyDescent="0.3">
      <c r="E90" s="5" t="s">
        <v>749</v>
      </c>
    </row>
    <row r="91" spans="5:10" x14ac:dyDescent="0.3">
      <c r="E91" s="171" t="s">
        <v>750</v>
      </c>
      <c r="F91" s="171" t="s">
        <v>731</v>
      </c>
      <c r="G91" s="171" t="s">
        <v>751</v>
      </c>
      <c r="H91" s="171" t="s">
        <v>730</v>
      </c>
      <c r="I91" s="171" t="s">
        <v>729</v>
      </c>
    </row>
    <row r="92" spans="5:10" x14ac:dyDescent="0.3">
      <c r="E92" s="171">
        <v>2022</v>
      </c>
      <c r="F92" s="171">
        <v>16600</v>
      </c>
      <c r="G92" s="171">
        <v>44300</v>
      </c>
      <c r="H92" s="171">
        <v>796700</v>
      </c>
      <c r="I92" s="171">
        <v>56</v>
      </c>
    </row>
    <row r="93" spans="5:10" x14ac:dyDescent="0.3">
      <c r="E93" s="171">
        <f>E92+1</f>
        <v>2023</v>
      </c>
      <c r="F93" s="171">
        <v>16800</v>
      </c>
      <c r="G93" s="171">
        <v>45100</v>
      </c>
      <c r="H93" s="171">
        <v>810500</v>
      </c>
      <c r="I93" s="171">
        <v>57</v>
      </c>
    </row>
    <row r="94" spans="5:10" x14ac:dyDescent="0.3">
      <c r="E94" s="171">
        <f t="shared" ref="E94:E120" si="0">E93+1</f>
        <v>2024</v>
      </c>
      <c r="F94" s="171">
        <v>17000</v>
      </c>
      <c r="G94" s="171">
        <v>46000</v>
      </c>
      <c r="H94" s="171">
        <v>824500</v>
      </c>
      <c r="I94" s="171">
        <v>58</v>
      </c>
    </row>
    <row r="95" spans="5:10" x14ac:dyDescent="0.3">
      <c r="E95" s="171">
        <f t="shared" si="0"/>
        <v>2025</v>
      </c>
      <c r="F95" s="171">
        <v>17200</v>
      </c>
      <c r="G95" s="171">
        <v>46900</v>
      </c>
      <c r="H95" s="171">
        <v>838800</v>
      </c>
      <c r="I95" s="171">
        <v>59</v>
      </c>
    </row>
    <row r="96" spans="5:10" x14ac:dyDescent="0.3">
      <c r="E96" s="171">
        <f t="shared" si="0"/>
        <v>2026</v>
      </c>
      <c r="F96" s="171">
        <v>17500</v>
      </c>
      <c r="G96" s="171">
        <v>47800</v>
      </c>
      <c r="H96" s="171">
        <v>852100</v>
      </c>
      <c r="I96" s="171">
        <v>60</v>
      </c>
    </row>
    <row r="97" spans="5:9" x14ac:dyDescent="0.3">
      <c r="E97" s="171">
        <f t="shared" si="0"/>
        <v>2027</v>
      </c>
      <c r="F97" s="171">
        <v>17900</v>
      </c>
      <c r="G97" s="171">
        <v>48700</v>
      </c>
      <c r="H97" s="171">
        <v>865600</v>
      </c>
      <c r="I97" s="171">
        <v>61</v>
      </c>
    </row>
    <row r="98" spans="5:9" x14ac:dyDescent="0.3">
      <c r="E98" s="171">
        <f t="shared" si="0"/>
        <v>2028</v>
      </c>
      <c r="F98" s="171">
        <v>18200</v>
      </c>
      <c r="G98" s="171">
        <v>49500</v>
      </c>
      <c r="H98" s="171">
        <v>879400</v>
      </c>
      <c r="I98" s="171">
        <v>62</v>
      </c>
    </row>
    <row r="99" spans="5:9" x14ac:dyDescent="0.3">
      <c r="E99" s="171">
        <f t="shared" si="0"/>
        <v>2029</v>
      </c>
      <c r="F99" s="171">
        <v>18600</v>
      </c>
      <c r="G99" s="171">
        <v>50400</v>
      </c>
      <c r="H99" s="171">
        <v>893400</v>
      </c>
      <c r="I99" s="171">
        <v>63</v>
      </c>
    </row>
    <row r="100" spans="5:9" x14ac:dyDescent="0.3">
      <c r="E100" s="171">
        <f t="shared" si="0"/>
        <v>2030</v>
      </c>
      <c r="F100" s="171">
        <v>18900</v>
      </c>
      <c r="G100" s="171">
        <v>51200</v>
      </c>
      <c r="H100" s="171">
        <v>907600</v>
      </c>
      <c r="I100" s="171">
        <v>65</v>
      </c>
    </row>
    <row r="101" spans="5:9" x14ac:dyDescent="0.3">
      <c r="E101" s="171">
        <f t="shared" si="0"/>
        <v>2031</v>
      </c>
      <c r="F101" s="171">
        <f>$F$100</f>
        <v>18900</v>
      </c>
      <c r="G101" s="171">
        <f>$G$100</f>
        <v>51200</v>
      </c>
      <c r="H101" s="171">
        <f>$H$100</f>
        <v>907600</v>
      </c>
      <c r="I101" s="171">
        <v>66</v>
      </c>
    </row>
    <row r="102" spans="5:9" x14ac:dyDescent="0.3">
      <c r="E102" s="171">
        <f t="shared" si="0"/>
        <v>2032</v>
      </c>
      <c r="F102" s="171">
        <f t="shared" ref="F102:F120" si="1">$F$100</f>
        <v>18900</v>
      </c>
      <c r="G102" s="171">
        <f t="shared" ref="G102:G120" si="2">$G$100</f>
        <v>51200</v>
      </c>
      <c r="H102" s="171">
        <f t="shared" ref="H102:H120" si="3">$H$100</f>
        <v>907600</v>
      </c>
      <c r="I102" s="171">
        <v>67</v>
      </c>
    </row>
    <row r="103" spans="5:9" x14ac:dyDescent="0.3">
      <c r="E103" s="171">
        <f t="shared" si="0"/>
        <v>2033</v>
      </c>
      <c r="F103" s="171">
        <f t="shared" si="1"/>
        <v>18900</v>
      </c>
      <c r="G103" s="171">
        <f t="shared" si="2"/>
        <v>51200</v>
      </c>
      <c r="H103" s="171">
        <f t="shared" si="3"/>
        <v>907600</v>
      </c>
      <c r="I103" s="171">
        <v>68</v>
      </c>
    </row>
    <row r="104" spans="5:9" x14ac:dyDescent="0.3">
      <c r="E104" s="171">
        <f t="shared" si="0"/>
        <v>2034</v>
      </c>
      <c r="F104" s="171">
        <f t="shared" si="1"/>
        <v>18900</v>
      </c>
      <c r="G104" s="171">
        <f t="shared" si="2"/>
        <v>51200</v>
      </c>
      <c r="H104" s="171">
        <f t="shared" si="3"/>
        <v>907600</v>
      </c>
      <c r="I104" s="171">
        <v>69</v>
      </c>
    </row>
    <row r="105" spans="5:9" x14ac:dyDescent="0.3">
      <c r="E105" s="171">
        <f t="shared" si="0"/>
        <v>2035</v>
      </c>
      <c r="F105" s="171">
        <f t="shared" si="1"/>
        <v>18900</v>
      </c>
      <c r="G105" s="171">
        <f t="shared" si="2"/>
        <v>51200</v>
      </c>
      <c r="H105" s="171">
        <f t="shared" si="3"/>
        <v>907600</v>
      </c>
      <c r="I105" s="171">
        <v>70</v>
      </c>
    </row>
    <row r="106" spans="5:9" x14ac:dyDescent="0.3">
      <c r="E106" s="171">
        <f t="shared" si="0"/>
        <v>2036</v>
      </c>
      <c r="F106" s="171">
        <f t="shared" si="1"/>
        <v>18900</v>
      </c>
      <c r="G106" s="171">
        <f t="shared" si="2"/>
        <v>51200</v>
      </c>
      <c r="H106" s="171">
        <f t="shared" si="3"/>
        <v>907600</v>
      </c>
      <c r="I106" s="171">
        <v>72</v>
      </c>
    </row>
    <row r="107" spans="5:9" x14ac:dyDescent="0.3">
      <c r="E107" s="171">
        <f t="shared" si="0"/>
        <v>2037</v>
      </c>
      <c r="F107" s="171">
        <f t="shared" si="1"/>
        <v>18900</v>
      </c>
      <c r="G107" s="171">
        <f t="shared" si="2"/>
        <v>51200</v>
      </c>
      <c r="H107" s="171">
        <f t="shared" si="3"/>
        <v>907600</v>
      </c>
      <c r="I107" s="171">
        <v>73</v>
      </c>
    </row>
    <row r="108" spans="5:9" x14ac:dyDescent="0.3">
      <c r="E108" s="171">
        <f t="shared" si="0"/>
        <v>2038</v>
      </c>
      <c r="F108" s="171">
        <f t="shared" si="1"/>
        <v>18900</v>
      </c>
      <c r="G108" s="171">
        <f t="shared" si="2"/>
        <v>51200</v>
      </c>
      <c r="H108" s="171">
        <f t="shared" si="3"/>
        <v>907600</v>
      </c>
      <c r="I108" s="171">
        <v>74</v>
      </c>
    </row>
    <row r="109" spans="5:9" x14ac:dyDescent="0.3">
      <c r="E109" s="171">
        <f t="shared" si="0"/>
        <v>2039</v>
      </c>
      <c r="F109" s="171">
        <f t="shared" si="1"/>
        <v>18900</v>
      </c>
      <c r="G109" s="171">
        <f t="shared" si="2"/>
        <v>51200</v>
      </c>
      <c r="H109" s="171">
        <f t="shared" si="3"/>
        <v>907600</v>
      </c>
      <c r="I109" s="171">
        <v>75</v>
      </c>
    </row>
    <row r="110" spans="5:9" x14ac:dyDescent="0.3">
      <c r="E110" s="171">
        <f t="shared" si="0"/>
        <v>2040</v>
      </c>
      <c r="F110" s="171">
        <f t="shared" si="1"/>
        <v>18900</v>
      </c>
      <c r="G110" s="171">
        <f t="shared" si="2"/>
        <v>51200</v>
      </c>
      <c r="H110" s="171">
        <f t="shared" si="3"/>
        <v>907600</v>
      </c>
      <c r="I110" s="171">
        <v>76</v>
      </c>
    </row>
    <row r="111" spans="5:9" x14ac:dyDescent="0.3">
      <c r="E111" s="171">
        <f t="shared" si="0"/>
        <v>2041</v>
      </c>
      <c r="F111" s="171">
        <f t="shared" si="1"/>
        <v>18900</v>
      </c>
      <c r="G111" s="171">
        <f t="shared" si="2"/>
        <v>51200</v>
      </c>
      <c r="H111" s="171">
        <f t="shared" si="3"/>
        <v>907600</v>
      </c>
      <c r="I111" s="171">
        <v>78</v>
      </c>
    </row>
    <row r="112" spans="5:9" x14ac:dyDescent="0.3">
      <c r="E112" s="171">
        <f t="shared" si="0"/>
        <v>2042</v>
      </c>
      <c r="F112" s="171">
        <f t="shared" si="1"/>
        <v>18900</v>
      </c>
      <c r="G112" s="171">
        <f t="shared" si="2"/>
        <v>51200</v>
      </c>
      <c r="H112" s="171">
        <f t="shared" si="3"/>
        <v>907600</v>
      </c>
      <c r="I112" s="171">
        <v>79</v>
      </c>
    </row>
    <row r="113" spans="5:9" x14ac:dyDescent="0.3">
      <c r="E113" s="171">
        <f t="shared" si="0"/>
        <v>2043</v>
      </c>
      <c r="F113" s="171">
        <f t="shared" si="1"/>
        <v>18900</v>
      </c>
      <c r="G113" s="171">
        <f t="shared" si="2"/>
        <v>51200</v>
      </c>
      <c r="H113" s="171">
        <f t="shared" si="3"/>
        <v>907600</v>
      </c>
      <c r="I113" s="171">
        <v>80</v>
      </c>
    </row>
    <row r="114" spans="5:9" x14ac:dyDescent="0.3">
      <c r="E114" s="171">
        <f t="shared" si="0"/>
        <v>2044</v>
      </c>
      <c r="F114" s="171">
        <f t="shared" si="1"/>
        <v>18900</v>
      </c>
      <c r="G114" s="171">
        <f t="shared" si="2"/>
        <v>51200</v>
      </c>
      <c r="H114" s="171">
        <f t="shared" si="3"/>
        <v>907600</v>
      </c>
      <c r="I114" s="171">
        <v>81</v>
      </c>
    </row>
    <row r="115" spans="5:9" x14ac:dyDescent="0.3">
      <c r="E115" s="171">
        <f t="shared" si="0"/>
        <v>2045</v>
      </c>
      <c r="F115" s="171">
        <f t="shared" si="1"/>
        <v>18900</v>
      </c>
      <c r="G115" s="171">
        <f t="shared" si="2"/>
        <v>51200</v>
      </c>
      <c r="H115" s="171">
        <f t="shared" si="3"/>
        <v>907600</v>
      </c>
      <c r="I115" s="171">
        <v>82</v>
      </c>
    </row>
    <row r="116" spans="5:9" x14ac:dyDescent="0.3">
      <c r="E116" s="171">
        <f t="shared" si="0"/>
        <v>2046</v>
      </c>
      <c r="F116" s="171">
        <f t="shared" si="1"/>
        <v>18900</v>
      </c>
      <c r="G116" s="171">
        <f t="shared" si="2"/>
        <v>51200</v>
      </c>
      <c r="H116" s="171">
        <f t="shared" si="3"/>
        <v>907600</v>
      </c>
      <c r="I116" s="171">
        <v>84</v>
      </c>
    </row>
    <row r="117" spans="5:9" x14ac:dyDescent="0.3">
      <c r="E117" s="171">
        <f t="shared" si="0"/>
        <v>2047</v>
      </c>
      <c r="F117" s="171">
        <f t="shared" si="1"/>
        <v>18900</v>
      </c>
      <c r="G117" s="171">
        <f t="shared" si="2"/>
        <v>51200</v>
      </c>
      <c r="H117" s="171">
        <f t="shared" si="3"/>
        <v>907600</v>
      </c>
      <c r="I117" s="171">
        <v>85</v>
      </c>
    </row>
    <row r="118" spans="5:9" x14ac:dyDescent="0.3">
      <c r="E118" s="171">
        <f t="shared" si="0"/>
        <v>2048</v>
      </c>
      <c r="F118" s="171">
        <f t="shared" si="1"/>
        <v>18900</v>
      </c>
      <c r="G118" s="171">
        <f t="shared" si="2"/>
        <v>51200</v>
      </c>
      <c r="H118" s="171">
        <f t="shared" si="3"/>
        <v>907600</v>
      </c>
      <c r="I118" s="171">
        <v>86</v>
      </c>
    </row>
    <row r="119" spans="5:9" x14ac:dyDescent="0.3">
      <c r="E119" s="171">
        <f t="shared" si="0"/>
        <v>2049</v>
      </c>
      <c r="F119" s="171">
        <f t="shared" si="1"/>
        <v>18900</v>
      </c>
      <c r="G119" s="171">
        <f t="shared" si="2"/>
        <v>51200</v>
      </c>
      <c r="H119" s="171">
        <f t="shared" si="3"/>
        <v>907600</v>
      </c>
      <c r="I119" s="171">
        <v>87</v>
      </c>
    </row>
    <row r="120" spans="5:9" x14ac:dyDescent="0.3">
      <c r="E120" s="171">
        <f t="shared" si="0"/>
        <v>2050</v>
      </c>
      <c r="F120" s="171">
        <f t="shared" si="1"/>
        <v>18900</v>
      </c>
      <c r="G120" s="171">
        <f t="shared" si="2"/>
        <v>51200</v>
      </c>
      <c r="H120" s="171">
        <f t="shared" si="3"/>
        <v>907600</v>
      </c>
      <c r="I120" s="171">
        <v>88</v>
      </c>
    </row>
  </sheetData>
  <mergeCells count="18">
    <mergeCell ref="E51:E59"/>
    <mergeCell ref="E60:E87"/>
    <mergeCell ref="G6:J6"/>
    <mergeCell ref="B4:D4"/>
    <mergeCell ref="E8:E16"/>
    <mergeCell ref="E17:E44"/>
    <mergeCell ref="G49:J49"/>
    <mergeCell ref="I2:I3"/>
    <mergeCell ref="J2:J3"/>
    <mergeCell ref="K2:K3"/>
    <mergeCell ref="L2:Q2"/>
    <mergeCell ref="L3:Q3"/>
    <mergeCell ref="H2:H3"/>
    <mergeCell ref="A2:A3"/>
    <mergeCell ref="B2:D3"/>
    <mergeCell ref="E2:E3"/>
    <mergeCell ref="F2:F3"/>
    <mergeCell ref="G2:G3"/>
  </mergeCells>
  <hyperlinks>
    <hyperlink ref="R2" r:id="rId1" xr:uid="{7F944CAF-7A49-4F51-92BE-674BA1231CE3}"/>
    <hyperlink ref="L3" r:id="rId2" xr:uid="{29E49F94-4699-4034-8B37-6565E1A79C24}"/>
  </hyperlinks>
  <pageMargins left="0.7" right="0.7" top="0.75" bottom="0.75" header="0.3" footer="0.3"/>
  <pageSetup orientation="portrait" horizontalDpi="300" verticalDpi="300"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10C9C-18A9-4281-B5B2-A912AF18A35D}">
  <sheetPr>
    <tabColor rgb="FFCDE0FF"/>
  </sheetPr>
  <dimension ref="A1:G22"/>
  <sheetViews>
    <sheetView zoomScale="115" zoomScaleNormal="115" workbookViewId="0">
      <selection activeCell="I3" sqref="I3"/>
    </sheetView>
  </sheetViews>
  <sheetFormatPr defaultColWidth="9.109375" defaultRowHeight="14.4" x14ac:dyDescent="0.3"/>
  <cols>
    <col min="1" max="1" width="14.5546875" customWidth="1"/>
    <col min="2" max="3" width="7" bestFit="1" customWidth="1"/>
    <col min="4" max="4" width="25" style="406" customWidth="1"/>
    <col min="5" max="5" width="15" bestFit="1" customWidth="1"/>
    <col min="6" max="6" width="52.33203125" style="406" customWidth="1"/>
    <col min="7" max="7" width="91.6640625" customWidth="1"/>
  </cols>
  <sheetData>
    <row r="1" spans="1:7" x14ac:dyDescent="0.3">
      <c r="A1" s="403" t="s">
        <v>752</v>
      </c>
      <c r="B1" s="403" t="s">
        <v>753</v>
      </c>
      <c r="C1" s="403" t="s">
        <v>754</v>
      </c>
      <c r="D1" s="404" t="s">
        <v>755</v>
      </c>
      <c r="E1" s="403" t="s">
        <v>756</v>
      </c>
      <c r="F1" s="404" t="s">
        <v>757</v>
      </c>
      <c r="G1" s="403" t="s">
        <v>875</v>
      </c>
    </row>
    <row r="2" spans="1:7" ht="43.2" x14ac:dyDescent="0.3">
      <c r="A2" s="4">
        <v>20000129038</v>
      </c>
      <c r="B2" s="4">
        <v>11.117000000000001</v>
      </c>
      <c r="C2" s="4">
        <v>11.468</v>
      </c>
      <c r="D2" s="405" t="s">
        <v>758</v>
      </c>
      <c r="E2" s="4" t="s">
        <v>759</v>
      </c>
      <c r="F2" s="405" t="s">
        <v>760</v>
      </c>
      <c r="G2" s="405" t="s">
        <v>870</v>
      </c>
    </row>
    <row r="3" spans="1:7" ht="72" x14ac:dyDescent="0.3">
      <c r="A3" s="4">
        <v>30000143038</v>
      </c>
      <c r="B3" s="4">
        <v>29.643999999999998</v>
      </c>
      <c r="C3" s="4">
        <v>33.314</v>
      </c>
      <c r="D3" s="405" t="s">
        <v>761</v>
      </c>
      <c r="E3" s="4" t="s">
        <v>762</v>
      </c>
      <c r="F3" s="405" t="s">
        <v>763</v>
      </c>
      <c r="G3" s="405" t="s">
        <v>871</v>
      </c>
    </row>
    <row r="4" spans="1:7" ht="100.8" x14ac:dyDescent="0.3">
      <c r="A4" s="4">
        <v>30000143038</v>
      </c>
      <c r="B4" s="4">
        <v>33.314</v>
      </c>
      <c r="C4" s="4">
        <v>36.85</v>
      </c>
      <c r="D4" s="405" t="s">
        <v>764</v>
      </c>
      <c r="E4" s="4" t="s">
        <v>765</v>
      </c>
      <c r="F4" s="405" t="s">
        <v>766</v>
      </c>
      <c r="G4" s="405" t="s">
        <v>872</v>
      </c>
    </row>
    <row r="5" spans="1:7" ht="72" x14ac:dyDescent="0.3">
      <c r="A5" s="4">
        <v>30000143038</v>
      </c>
      <c r="B5" s="4">
        <v>36.85</v>
      </c>
      <c r="C5" s="4">
        <v>38.479999999999997</v>
      </c>
      <c r="D5" s="405" t="s">
        <v>767</v>
      </c>
      <c r="E5" s="4" t="s">
        <v>768</v>
      </c>
      <c r="F5" s="405" t="s">
        <v>769</v>
      </c>
      <c r="G5" s="405" t="s">
        <v>871</v>
      </c>
    </row>
    <row r="6" spans="1:7" ht="72" x14ac:dyDescent="0.3">
      <c r="A6" s="4">
        <v>30000028038</v>
      </c>
      <c r="B6" s="4">
        <v>6.75</v>
      </c>
      <c r="C6" s="4">
        <v>8.0169999999999995</v>
      </c>
      <c r="D6" s="405" t="s">
        <v>770</v>
      </c>
      <c r="E6" s="4" t="s">
        <v>771</v>
      </c>
      <c r="F6" s="405" t="s">
        <v>769</v>
      </c>
      <c r="G6" s="405" t="s">
        <v>873</v>
      </c>
    </row>
    <row r="7" spans="1:7" ht="100.8" x14ac:dyDescent="0.3">
      <c r="A7" s="4">
        <v>30000028038</v>
      </c>
      <c r="B7" s="4">
        <v>5.33</v>
      </c>
      <c r="C7" s="4">
        <v>6.75</v>
      </c>
      <c r="D7" s="405" t="s">
        <v>772</v>
      </c>
      <c r="E7" s="4" t="s">
        <v>773</v>
      </c>
      <c r="F7" s="405" t="s">
        <v>774</v>
      </c>
      <c r="G7" s="405" t="s">
        <v>874</v>
      </c>
    </row>
    <row r="8" spans="1:7" x14ac:dyDescent="0.3">
      <c r="G8" s="406"/>
    </row>
    <row r="9" spans="1:7" x14ac:dyDescent="0.3">
      <c r="G9" s="406"/>
    </row>
    <row r="10" spans="1:7" x14ac:dyDescent="0.3">
      <c r="A10" s="1" t="s">
        <v>775</v>
      </c>
      <c r="G10" s="406"/>
    </row>
    <row r="11" spans="1:7" x14ac:dyDescent="0.3">
      <c r="A11" s="407" t="s">
        <v>776</v>
      </c>
      <c r="B11" s="408"/>
      <c r="C11" s="408"/>
      <c r="D11" s="409"/>
      <c r="E11" s="410"/>
    </row>
    <row r="12" spans="1:7" x14ac:dyDescent="0.3">
      <c r="A12" s="411" t="s">
        <v>777</v>
      </c>
      <c r="E12" s="412"/>
    </row>
    <row r="13" spans="1:7" x14ac:dyDescent="0.3">
      <c r="A13" s="413"/>
      <c r="E13" s="412"/>
    </row>
    <row r="14" spans="1:7" x14ac:dyDescent="0.3">
      <c r="A14" s="413" t="s">
        <v>778</v>
      </c>
      <c r="E14" s="412"/>
    </row>
    <row r="15" spans="1:7" x14ac:dyDescent="0.3">
      <c r="A15" s="413" t="s">
        <v>382</v>
      </c>
      <c r="E15" s="412"/>
    </row>
    <row r="16" spans="1:7" x14ac:dyDescent="0.3">
      <c r="A16" s="413"/>
      <c r="E16" s="412"/>
    </row>
    <row r="17" spans="1:5" x14ac:dyDescent="0.3">
      <c r="A17" s="413" t="s">
        <v>779</v>
      </c>
      <c r="E17" s="412"/>
    </row>
    <row r="18" spans="1:5" x14ac:dyDescent="0.3">
      <c r="A18" s="413" t="s">
        <v>189</v>
      </c>
      <c r="B18" t="s">
        <v>780</v>
      </c>
      <c r="E18" s="412"/>
    </row>
    <row r="19" spans="1:5" x14ac:dyDescent="0.3">
      <c r="A19" s="413" t="s">
        <v>191</v>
      </c>
      <c r="B19" t="s">
        <v>781</v>
      </c>
      <c r="E19" s="412"/>
    </row>
    <row r="20" spans="1:5" x14ac:dyDescent="0.3">
      <c r="A20" s="414" t="s">
        <v>193</v>
      </c>
      <c r="B20" s="415" t="s">
        <v>782</v>
      </c>
      <c r="C20" s="415"/>
      <c r="D20" s="416"/>
      <c r="E20" s="417"/>
    </row>
    <row r="22" spans="1:5" x14ac:dyDescent="0.3">
      <c r="A22" t="s">
        <v>783</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A8EC2-EEAF-4D3D-A26C-579F5728AF47}">
  <sheetPr>
    <tabColor rgb="FFCDE0FF"/>
  </sheetPr>
  <dimension ref="A1:N43"/>
  <sheetViews>
    <sheetView topLeftCell="A10" zoomScale="85" zoomScaleNormal="85" workbookViewId="0">
      <selection activeCell="I33" sqref="I33"/>
    </sheetView>
  </sheetViews>
  <sheetFormatPr defaultColWidth="12.33203125" defaultRowHeight="14.4" x14ac:dyDescent="0.3"/>
  <cols>
    <col min="1" max="1" width="20.44140625" style="3" customWidth="1"/>
    <col min="2" max="2" width="17.33203125" style="3" customWidth="1"/>
    <col min="3" max="3" width="19.33203125" style="3" customWidth="1"/>
    <col min="4" max="4" width="12.88671875" style="3" bestFit="1" customWidth="1"/>
    <col min="5" max="5" width="18" style="3" customWidth="1"/>
    <col min="6" max="6" width="18.33203125" style="3" customWidth="1"/>
    <col min="7" max="7" width="15.6640625" style="3" customWidth="1"/>
    <col min="8" max="8" width="17.33203125" style="3" customWidth="1"/>
    <col min="9" max="9" width="20.33203125" style="3" customWidth="1"/>
    <col min="10" max="10" width="23.33203125" style="3" customWidth="1"/>
    <col min="11" max="11" width="12.88671875" style="3" customWidth="1"/>
    <col min="12" max="16384" width="12.33203125" style="3"/>
  </cols>
  <sheetData>
    <row r="1" spans="1:14" x14ac:dyDescent="0.3">
      <c r="A1" s="3" t="s">
        <v>784</v>
      </c>
      <c r="B1" s="480" t="s">
        <v>787</v>
      </c>
      <c r="C1" s="480"/>
      <c r="D1" s="480"/>
      <c r="E1" s="480"/>
      <c r="F1" s="3" t="s">
        <v>785</v>
      </c>
    </row>
    <row r="2" spans="1:14" s="205" customFormat="1" ht="28.8" x14ac:dyDescent="0.3">
      <c r="A2" s="155" t="s">
        <v>786</v>
      </c>
      <c r="B2" s="155" t="s">
        <v>787</v>
      </c>
      <c r="C2" s="155" t="s">
        <v>788</v>
      </c>
      <c r="D2" s="155" t="s">
        <v>789</v>
      </c>
      <c r="E2" s="155" t="s">
        <v>790</v>
      </c>
      <c r="F2" s="155" t="s">
        <v>791</v>
      </c>
      <c r="G2" s="155" t="s">
        <v>792</v>
      </c>
      <c r="H2" s="155" t="s">
        <v>793</v>
      </c>
      <c r="I2" s="155" t="s">
        <v>794</v>
      </c>
      <c r="J2" s="155" t="s">
        <v>795</v>
      </c>
      <c r="L2" s="205" t="s">
        <v>796</v>
      </c>
      <c r="M2" s="205" t="s">
        <v>797</v>
      </c>
      <c r="N2" s="205" t="s">
        <v>798</v>
      </c>
    </row>
    <row r="3" spans="1:14" ht="28.8" x14ac:dyDescent="0.3">
      <c r="A3" s="52" t="s">
        <v>799</v>
      </c>
      <c r="B3" s="142"/>
      <c r="C3" s="141"/>
      <c r="D3" s="141"/>
      <c r="E3" s="141"/>
      <c r="F3" s="306">
        <v>57000000</v>
      </c>
      <c r="G3" s="306">
        <v>57000000</v>
      </c>
      <c r="H3" s="306">
        <v>0</v>
      </c>
      <c r="I3" s="141" t="s">
        <v>800</v>
      </c>
      <c r="J3" s="158" t="s">
        <v>801</v>
      </c>
      <c r="L3" s="307">
        <v>44865</v>
      </c>
      <c r="M3" s="307">
        <v>46752</v>
      </c>
      <c r="N3" s="299">
        <f>(5*12+2)/12</f>
        <v>5.166666666666667</v>
      </c>
    </row>
    <row r="4" spans="1:14" ht="28.8" x14ac:dyDescent="0.3">
      <c r="A4" s="52" t="s">
        <v>802</v>
      </c>
      <c r="B4" s="142"/>
      <c r="C4" s="141"/>
      <c r="D4" s="141"/>
      <c r="E4" s="141"/>
      <c r="F4" s="306">
        <v>139690000</v>
      </c>
      <c r="G4" s="306">
        <v>139690000</v>
      </c>
      <c r="H4" s="306">
        <v>0</v>
      </c>
      <c r="I4" s="141" t="s">
        <v>800</v>
      </c>
      <c r="J4" s="158" t="s">
        <v>801</v>
      </c>
      <c r="L4" s="307">
        <v>44865</v>
      </c>
      <c r="M4" s="307">
        <v>46752</v>
      </c>
      <c r="N4" s="299">
        <f>(5*12+2)/12</f>
        <v>5.166666666666667</v>
      </c>
    </row>
    <row r="5" spans="1:14" ht="28.8" x14ac:dyDescent="0.3">
      <c r="A5" s="52" t="s">
        <v>803</v>
      </c>
      <c r="B5" s="142"/>
      <c r="C5" s="141"/>
      <c r="D5" s="141"/>
      <c r="E5" s="141"/>
      <c r="F5" s="306">
        <v>80865000</v>
      </c>
      <c r="G5" s="306">
        <v>80865000</v>
      </c>
      <c r="H5" s="306">
        <v>0</v>
      </c>
      <c r="I5" s="141" t="s">
        <v>800</v>
      </c>
      <c r="J5" s="158" t="s">
        <v>801</v>
      </c>
      <c r="L5" s="307">
        <v>44926</v>
      </c>
      <c r="M5" s="307">
        <v>46387</v>
      </c>
      <c r="N5" s="3">
        <f>4</f>
        <v>4</v>
      </c>
    </row>
    <row r="6" spans="1:14" ht="28.8" x14ac:dyDescent="0.3">
      <c r="A6" s="52" t="s">
        <v>804</v>
      </c>
      <c r="B6" s="142"/>
      <c r="C6" s="141"/>
      <c r="D6" s="141"/>
      <c r="E6" s="141"/>
      <c r="F6" s="306">
        <v>46500000</v>
      </c>
      <c r="G6" s="306">
        <v>1034276</v>
      </c>
      <c r="H6" s="306">
        <v>44433000</v>
      </c>
      <c r="I6" s="141" t="s">
        <v>805</v>
      </c>
      <c r="J6" s="158" t="s">
        <v>801</v>
      </c>
      <c r="L6" s="307">
        <v>45473</v>
      </c>
      <c r="M6" s="307">
        <v>46934</v>
      </c>
      <c r="N6" s="3">
        <f>4*2</f>
        <v>8</v>
      </c>
    </row>
    <row r="7" spans="1:14" x14ac:dyDescent="0.3">
      <c r="A7" s="52" t="s">
        <v>806</v>
      </c>
      <c r="B7" s="142"/>
      <c r="C7" s="141"/>
      <c r="D7" s="141"/>
      <c r="E7" s="141"/>
      <c r="F7" s="306">
        <v>567000</v>
      </c>
      <c r="G7" s="306">
        <v>0</v>
      </c>
      <c r="H7" s="306">
        <v>567000</v>
      </c>
      <c r="I7" s="141" t="s">
        <v>805</v>
      </c>
      <c r="J7" s="158"/>
      <c r="L7" s="307"/>
      <c r="M7" s="307"/>
    </row>
    <row r="8" spans="1:14" x14ac:dyDescent="0.3">
      <c r="A8" s="206" t="s">
        <v>135</v>
      </c>
      <c r="B8" s="214">
        <f>SUM(B3:B6)</f>
        <v>0</v>
      </c>
      <c r="C8" s="214">
        <f>SUM(C3:C6)</f>
        <v>0</v>
      </c>
      <c r="D8" s="214">
        <f>SUM(D3:D6)</f>
        <v>0</v>
      </c>
      <c r="E8" s="214">
        <f>SUM(E3:E6)</f>
        <v>0</v>
      </c>
      <c r="F8" s="308">
        <f>SUM(F3:F7)</f>
        <v>324622000</v>
      </c>
      <c r="G8" s="308">
        <f>SUM(G3:G7)</f>
        <v>278589276</v>
      </c>
      <c r="H8" s="308">
        <f>SUM(H3:H7)</f>
        <v>45000000</v>
      </c>
      <c r="I8" s="5"/>
    </row>
    <row r="9" spans="1:14" x14ac:dyDescent="0.3">
      <c r="B9" s="146"/>
      <c r="C9" s="146"/>
      <c r="D9" s="146"/>
      <c r="E9" s="146"/>
      <c r="F9" s="146"/>
      <c r="H9" s="202">
        <f>H8/F8</f>
        <v>0.13862276740331833</v>
      </c>
    </row>
    <row r="11" spans="1:14" x14ac:dyDescent="0.3">
      <c r="A11" s="143" t="s">
        <v>860</v>
      </c>
      <c r="B11" s="3" t="str">
        <f>Table1[[#Headers],[Preliminary Engineering]]</f>
        <v>Preliminary Engineering</v>
      </c>
      <c r="C11" s="3" t="str">
        <f>Table1[[#Headers],[ROW]]</f>
        <v>ROW</v>
      </c>
      <c r="D11" s="3" t="str">
        <f>Table1[[#Headers],[Utilities]]</f>
        <v>Utilities</v>
      </c>
      <c r="E11" s="3" t="str">
        <f>Table1[[#Headers],[Total Construction]]</f>
        <v>Total Construction</v>
      </c>
      <c r="F11" s="3" t="s">
        <v>857</v>
      </c>
      <c r="G11" s="3" t="s">
        <v>858</v>
      </c>
      <c r="H11" s="3" t="s">
        <v>859</v>
      </c>
      <c r="I11" s="191"/>
    </row>
    <row r="12" spans="1:14" ht="25.8" x14ac:dyDescent="0.5">
      <c r="A12" s="3" t="s">
        <v>799</v>
      </c>
      <c r="B12" s="144">
        <f>15477243/4</f>
        <v>3869310.75</v>
      </c>
      <c r="C12" s="145">
        <v>1830542</v>
      </c>
      <c r="D12" s="145">
        <v>384574</v>
      </c>
      <c r="E12" s="145">
        <v>9785232</v>
      </c>
      <c r="F12" s="145">
        <v>982719</v>
      </c>
      <c r="G12" s="146">
        <f>SUM(B12:F12)</f>
        <v>16852377.75</v>
      </c>
      <c r="H12" s="146">
        <f>G12*(Deflator!$C$90/Deflator!$C$92)</f>
        <v>15032223.946205407</v>
      </c>
      <c r="I12" s="309"/>
      <c r="J12" s="461"/>
    </row>
    <row r="13" spans="1:14" x14ac:dyDescent="0.3">
      <c r="A13" s="3" t="s">
        <v>802</v>
      </c>
      <c r="B13" s="144">
        <f>15477243/4</f>
        <v>3869310.75</v>
      </c>
      <c r="C13" s="145">
        <v>865590</v>
      </c>
      <c r="D13" s="145"/>
      <c r="E13" s="145">
        <v>18766477</v>
      </c>
      <c r="F13" s="145">
        <v>0</v>
      </c>
      <c r="G13" s="146">
        <f>SUM(B13:F13)</f>
        <v>23501377.75</v>
      </c>
      <c r="H13" s="146">
        <f>G13*(Deflator!$C$90/Deflator!$C$92)</f>
        <v>20963093.672782701</v>
      </c>
      <c r="I13" s="309"/>
    </row>
    <row r="14" spans="1:14" x14ac:dyDescent="0.3">
      <c r="A14" s="3" t="s">
        <v>803</v>
      </c>
      <c r="B14" s="144">
        <f>15477243/4</f>
        <v>3869310.75</v>
      </c>
      <c r="C14" s="494">
        <v>906062</v>
      </c>
      <c r="D14" s="494">
        <v>197708</v>
      </c>
      <c r="E14" s="494">
        <v>12598921</v>
      </c>
      <c r="F14" s="494">
        <v>2223425</v>
      </c>
      <c r="G14" s="146">
        <f>SUM(B14:F14)</f>
        <v>19795426.75</v>
      </c>
      <c r="H14" s="146">
        <f>G14*(Deflator!$C$90/Deflator!$C$92)</f>
        <v>17657406.713228054</v>
      </c>
    </row>
    <row r="15" spans="1:14" x14ac:dyDescent="0.3">
      <c r="A15" s="3" t="s">
        <v>804</v>
      </c>
      <c r="B15" s="144">
        <f>15477243/4</f>
        <v>3869310.75</v>
      </c>
      <c r="C15" s="494"/>
      <c r="D15" s="494"/>
      <c r="E15" s="494"/>
      <c r="F15" s="494"/>
      <c r="G15" s="146">
        <f>SUM(B15:F15)</f>
        <v>3869310.75</v>
      </c>
      <c r="H15" s="146">
        <f>G15*(Deflator!$C$90/Deflator!$C$92)</f>
        <v>3451402.9162122244</v>
      </c>
      <c r="I15" s="146">
        <f>H16/4</f>
        <v>14276031.812107097</v>
      </c>
    </row>
    <row r="16" spans="1:14" x14ac:dyDescent="0.3">
      <c r="B16" s="147">
        <f t="shared" ref="B16:G16" si="0">SUM(B12:B15)</f>
        <v>15477243</v>
      </c>
      <c r="C16" s="147">
        <f>SUM(C12:C15)</f>
        <v>3602194</v>
      </c>
      <c r="D16" s="147">
        <f t="shared" si="0"/>
        <v>582282</v>
      </c>
      <c r="E16" s="147">
        <f t="shared" si="0"/>
        <v>41150630</v>
      </c>
      <c r="F16" s="147">
        <f t="shared" si="0"/>
        <v>3206144</v>
      </c>
      <c r="G16" s="147">
        <f t="shared" si="0"/>
        <v>64018493</v>
      </c>
      <c r="H16" s="147">
        <f>SUM(H12:H15)</f>
        <v>57104127.248428389</v>
      </c>
      <c r="I16" s="146">
        <f>H29-H16</f>
        <v>246605753.39437741</v>
      </c>
    </row>
    <row r="17" spans="1:11" ht="15.6" x14ac:dyDescent="0.3">
      <c r="A17" s="149" t="s">
        <v>861</v>
      </c>
      <c r="I17" s="191">
        <f>H16/H29</f>
        <v>0.18802196071977237</v>
      </c>
    </row>
    <row r="18" spans="1:11" x14ac:dyDescent="0.3">
      <c r="B18" s="480" t="s">
        <v>140</v>
      </c>
      <c r="C18" s="480"/>
      <c r="D18" s="480"/>
      <c r="E18" s="480"/>
      <c r="F18" s="480"/>
      <c r="G18" s="480"/>
      <c r="H18" s="480" t="s">
        <v>141</v>
      </c>
      <c r="I18" s="480"/>
    </row>
    <row r="19" spans="1:11" ht="28.8" x14ac:dyDescent="0.3">
      <c r="B19" s="154" t="s">
        <v>807</v>
      </c>
      <c r="C19" s="154" t="s">
        <v>808</v>
      </c>
      <c r="D19" s="154" t="s">
        <v>809</v>
      </c>
      <c r="E19" s="154" t="s">
        <v>810</v>
      </c>
      <c r="F19" s="154" t="s">
        <v>806</v>
      </c>
      <c r="G19" s="154" t="s">
        <v>135</v>
      </c>
      <c r="H19" s="155" t="s">
        <v>862</v>
      </c>
      <c r="I19" s="155" t="s">
        <v>863</v>
      </c>
      <c r="K19" s="148"/>
    </row>
    <row r="20" spans="1:11" x14ac:dyDescent="0.3">
      <c r="A20" s="150">
        <v>2020</v>
      </c>
      <c r="B20" s="148"/>
      <c r="C20" s="148"/>
      <c r="D20" s="148"/>
      <c r="E20" s="148"/>
      <c r="F20" s="148"/>
      <c r="G20" s="148"/>
      <c r="H20" s="148"/>
      <c r="I20" s="146">
        <f>I15</f>
        <v>14276031.812107097</v>
      </c>
      <c r="K20" s="148"/>
    </row>
    <row r="21" spans="1:11" x14ac:dyDescent="0.3">
      <c r="A21" s="150">
        <v>2021</v>
      </c>
      <c r="B21" s="148"/>
      <c r="C21" s="148"/>
      <c r="D21" s="148"/>
      <c r="E21" s="148"/>
      <c r="F21" s="148"/>
      <c r="G21" s="148"/>
      <c r="H21" s="148"/>
      <c r="I21" s="146">
        <f>I15</f>
        <v>14276031.812107097</v>
      </c>
      <c r="K21" s="148"/>
    </row>
    <row r="22" spans="1:11" x14ac:dyDescent="0.3">
      <c r="A22" s="3">
        <v>2022</v>
      </c>
      <c r="B22" s="146">
        <f>$F$3/$N$3*2/12</f>
        <v>1838709.6774193549</v>
      </c>
      <c r="C22" s="146">
        <f>$F$4/$N$4*2/12</f>
        <v>4506129.0322580645</v>
      </c>
      <c r="D22" s="145"/>
      <c r="E22" s="145"/>
      <c r="F22" s="145"/>
      <c r="G22" s="151">
        <f t="shared" ref="G22:G28" si="1">SUM(B22:F22)</f>
        <v>6344838.7096774196</v>
      </c>
      <c r="H22" s="151">
        <f>G22*Deflator!$P$90/Deflator!$P$91</f>
        <v>6056412.1669757478</v>
      </c>
      <c r="I22" s="146">
        <f>H22*(1-$I$17)+I15</f>
        <v>19193705.48852098</v>
      </c>
      <c r="K22" s="146"/>
    </row>
    <row r="23" spans="1:11" x14ac:dyDescent="0.3">
      <c r="A23" s="3">
        <f t="shared" ref="A23:A28" si="2">A22+1</f>
        <v>2023</v>
      </c>
      <c r="B23" s="146">
        <f>$F$3/$N$3</f>
        <v>11032258.064516129</v>
      </c>
      <c r="C23" s="146">
        <f>$F$4/$N$4</f>
        <v>27036774.193548385</v>
      </c>
      <c r="D23" s="146">
        <f>$F$5/$N$5</f>
        <v>20216250</v>
      </c>
      <c r="G23" s="151">
        <f t="shared" si="1"/>
        <v>58285282.258064516</v>
      </c>
      <c r="H23" s="146">
        <f>G23*Deflator!$C$90/Deflator!$C$91</f>
        <v>54508518.157168716</v>
      </c>
      <c r="I23" s="146">
        <f>H23*(1-$I$17)+I15</f>
        <v>58535751.509435639</v>
      </c>
      <c r="K23" s="146"/>
    </row>
    <row r="24" spans="1:11" x14ac:dyDescent="0.3">
      <c r="A24" s="3">
        <f t="shared" si="2"/>
        <v>2024</v>
      </c>
      <c r="B24" s="146">
        <f>$F$3/$N$3</f>
        <v>11032258.064516129</v>
      </c>
      <c r="C24" s="146">
        <f>$F$4/$N$4</f>
        <v>27036774.193548385</v>
      </c>
      <c r="D24" s="146">
        <f>$F$5/$N$5</f>
        <v>20216250</v>
      </c>
      <c r="E24" s="146">
        <f>$F$6/$N$6</f>
        <v>5812500</v>
      </c>
      <c r="F24" s="146">
        <f>SUM($F$7/4)</f>
        <v>141750</v>
      </c>
      <c r="G24" s="151">
        <f t="shared" si="1"/>
        <v>64239532.258064516</v>
      </c>
      <c r="H24" s="146">
        <f>G24*Deflator!$C$90/Deflator!$C$91</f>
        <v>60076945.239674881</v>
      </c>
      <c r="I24" s="146">
        <f>H24*(1-$I$17)</f>
        <v>48781160.201656811</v>
      </c>
      <c r="K24" s="146"/>
    </row>
    <row r="25" spans="1:11" x14ac:dyDescent="0.3">
      <c r="A25" s="3">
        <f t="shared" si="2"/>
        <v>2025</v>
      </c>
      <c r="B25" s="146">
        <f>$F$3/$N$3</f>
        <v>11032258.064516129</v>
      </c>
      <c r="C25" s="146">
        <f>$F$4/$N$4</f>
        <v>27036774.193548385</v>
      </c>
      <c r="D25" s="146">
        <f>$F$5/$N$5</f>
        <v>20216250</v>
      </c>
      <c r="E25" s="146">
        <f>$F$6/$N$6*2</f>
        <v>11625000</v>
      </c>
      <c r="F25" s="146">
        <f t="shared" ref="F25:F27" si="3">SUM($F$7/4)</f>
        <v>141750</v>
      </c>
      <c r="G25" s="151">
        <f t="shared" si="1"/>
        <v>70052032.258064508</v>
      </c>
      <c r="H25" s="146">
        <f>G25*Deflator!$C$90/Deflator!$C$91</f>
        <v>65512807.425015926</v>
      </c>
      <c r="I25" s="146">
        <f>H25*(1-$I$17)</f>
        <v>53194960.920707569</v>
      </c>
      <c r="K25" s="146"/>
    </row>
    <row r="26" spans="1:11" x14ac:dyDescent="0.3">
      <c r="A26" s="3">
        <f t="shared" si="2"/>
        <v>2026</v>
      </c>
      <c r="B26" s="146">
        <f>$F$3/$N$3</f>
        <v>11032258.064516129</v>
      </c>
      <c r="C26" s="146">
        <f>$F$4/$N$4</f>
        <v>27036774.193548385</v>
      </c>
      <c r="D26" s="146">
        <f>$F$5/$N$5</f>
        <v>20216250</v>
      </c>
      <c r="E26" s="146">
        <f>$F$6/$N$6*2</f>
        <v>11625000</v>
      </c>
      <c r="F26" s="146">
        <f t="shared" si="3"/>
        <v>141750</v>
      </c>
      <c r="G26" s="151">
        <f t="shared" si="1"/>
        <v>70052032.258064508</v>
      </c>
      <c r="H26" s="146">
        <f>G26*Deflator!$C$90/Deflator!$C$91</f>
        <v>65512807.425015926</v>
      </c>
      <c r="I26" s="146">
        <f>H26*(1-$I$17)</f>
        <v>53194960.920707569</v>
      </c>
      <c r="K26" s="146"/>
    </row>
    <row r="27" spans="1:11" x14ac:dyDescent="0.3">
      <c r="A27" s="3">
        <f t="shared" si="2"/>
        <v>2027</v>
      </c>
      <c r="B27" s="146">
        <f>$F$3/$N$3</f>
        <v>11032258.064516129</v>
      </c>
      <c r="C27" s="146">
        <f>$F$4/$N$4</f>
        <v>27036774.193548385</v>
      </c>
      <c r="D27" s="146"/>
      <c r="E27" s="146">
        <f>$F$6/$N$6*2</f>
        <v>11625000</v>
      </c>
      <c r="F27" s="146">
        <f t="shared" si="3"/>
        <v>141750</v>
      </c>
      <c r="G27" s="151">
        <f t="shared" si="1"/>
        <v>49835782.258064516</v>
      </c>
      <c r="H27" s="146">
        <f>G27*Deflator!$C$90/Deflator!$C$91</f>
        <v>46606528.043613575</v>
      </c>
      <c r="I27" s="146">
        <f>H27*(1-$I$17)</f>
        <v>37843477.258512296</v>
      </c>
      <c r="K27" s="146"/>
    </row>
    <row r="28" spans="1:11" x14ac:dyDescent="0.3">
      <c r="A28" s="3">
        <f t="shared" si="2"/>
        <v>2028</v>
      </c>
      <c r="B28" s="146"/>
      <c r="C28" s="146"/>
      <c r="D28" s="146"/>
      <c r="E28" s="146">
        <f>$F$6/$N$6</f>
        <v>5812500</v>
      </c>
      <c r="F28" s="146"/>
      <c r="G28" s="151">
        <f t="shared" si="1"/>
        <v>5812500</v>
      </c>
      <c r="H28" s="146">
        <f>G28*Deflator!$C$90/Deflator!$C$91</f>
        <v>5435862.185341062</v>
      </c>
      <c r="I28" s="146">
        <f>H28*(1-$I$17)</f>
        <v>4413800.7190507688</v>
      </c>
      <c r="K28" s="146"/>
    </row>
    <row r="29" spans="1:11" x14ac:dyDescent="0.3">
      <c r="A29" s="152" t="s">
        <v>135</v>
      </c>
      <c r="B29" s="147">
        <f t="shared" ref="B29:D29" si="4">SUM(B22:B28)</f>
        <v>56999999.999999993</v>
      </c>
      <c r="C29" s="147">
        <f t="shared" si="4"/>
        <v>139690000</v>
      </c>
      <c r="D29" s="147">
        <f t="shared" si="4"/>
        <v>80865000</v>
      </c>
      <c r="E29" s="147">
        <f>SUM(E22:E28)</f>
        <v>46500000</v>
      </c>
      <c r="F29" s="147">
        <f t="shared" ref="F29:G29" si="5">SUM(F22:F28)</f>
        <v>567000</v>
      </c>
      <c r="G29" s="147">
        <f t="shared" si="5"/>
        <v>324622000</v>
      </c>
      <c r="H29" s="147">
        <f>SUM(H22:H28)</f>
        <v>303709880.64280581</v>
      </c>
      <c r="I29" s="147">
        <f>SUM(I20:I28)</f>
        <v>303709880.64280587</v>
      </c>
      <c r="K29" s="147"/>
    </row>
    <row r="30" spans="1:11" x14ac:dyDescent="0.3">
      <c r="A30" s="310"/>
    </row>
    <row r="31" spans="1:11" ht="15" thickBot="1" x14ac:dyDescent="0.35">
      <c r="A31" s="311" t="s">
        <v>852</v>
      </c>
    </row>
    <row r="32" spans="1:11" x14ac:dyDescent="0.3">
      <c r="A32" s="495"/>
      <c r="B32" s="312" t="s">
        <v>786</v>
      </c>
      <c r="C32" s="312" t="s">
        <v>786</v>
      </c>
      <c r="D32" s="312" t="s">
        <v>786</v>
      </c>
      <c r="E32" s="312" t="s">
        <v>786</v>
      </c>
      <c r="F32" s="498" t="s">
        <v>806</v>
      </c>
      <c r="G32" s="312" t="s">
        <v>135</v>
      </c>
    </row>
    <row r="33" spans="1:8" x14ac:dyDescent="0.3">
      <c r="A33" s="496"/>
      <c r="B33" s="313" t="s">
        <v>799</v>
      </c>
      <c r="C33" s="313" t="s">
        <v>802</v>
      </c>
      <c r="D33" s="313" t="s">
        <v>803</v>
      </c>
      <c r="E33" s="313" t="s">
        <v>804</v>
      </c>
      <c r="F33" s="499"/>
      <c r="G33" s="313" t="s">
        <v>856</v>
      </c>
    </row>
    <row r="34" spans="1:8" x14ac:dyDescent="0.3">
      <c r="A34" s="496"/>
      <c r="B34" s="313" t="s">
        <v>848</v>
      </c>
      <c r="C34" s="313" t="s">
        <v>848</v>
      </c>
      <c r="D34" s="313" t="s">
        <v>848</v>
      </c>
      <c r="E34" s="313" t="s">
        <v>848</v>
      </c>
      <c r="F34" s="313" t="s">
        <v>850</v>
      </c>
      <c r="G34" s="313"/>
    </row>
    <row r="35" spans="1:8" ht="15" thickBot="1" x14ac:dyDescent="0.35">
      <c r="A35" s="314" t="s">
        <v>849</v>
      </c>
      <c r="B35" s="500" t="s">
        <v>850</v>
      </c>
      <c r="C35" s="500"/>
      <c r="D35" s="500"/>
      <c r="E35" s="500"/>
      <c r="F35" s="500"/>
      <c r="G35" s="500"/>
    </row>
    <row r="36" spans="1:8" x14ac:dyDescent="0.3">
      <c r="A36" s="501" t="s">
        <v>851</v>
      </c>
      <c r="B36" s="502">
        <v>0</v>
      </c>
      <c r="C36" s="502">
        <v>0</v>
      </c>
      <c r="D36" s="502">
        <v>0</v>
      </c>
      <c r="E36" s="157">
        <v>44433000</v>
      </c>
      <c r="F36" s="157">
        <v>567000</v>
      </c>
      <c r="G36" s="130">
        <f>E36+F36</f>
        <v>45000000</v>
      </c>
    </row>
    <row r="37" spans="1:8" x14ac:dyDescent="0.3">
      <c r="A37" s="501"/>
      <c r="B37" s="502"/>
      <c r="C37" s="502"/>
      <c r="D37" s="502"/>
      <c r="E37" s="131">
        <f>E36/G42</f>
        <v>0.1368761205340365</v>
      </c>
      <c r="F37" s="139">
        <f>F36/G42</f>
        <v>1.7466468692818109E-3</v>
      </c>
      <c r="G37" s="132"/>
    </row>
    <row r="38" spans="1:8" ht="15" customHeight="1" x14ac:dyDescent="0.3">
      <c r="A38" s="503" t="s">
        <v>853</v>
      </c>
      <c r="B38" s="156">
        <f>G3</f>
        <v>57000000</v>
      </c>
      <c r="C38" s="156">
        <f>G4</f>
        <v>139690000</v>
      </c>
      <c r="D38" s="156">
        <f>G5</f>
        <v>80865000</v>
      </c>
      <c r="E38" s="156">
        <f>F6-H6</f>
        <v>2067000</v>
      </c>
      <c r="F38" s="497">
        <v>0</v>
      </c>
      <c r="G38" s="133">
        <f>SUM(B38:E38)</f>
        <v>279622000</v>
      </c>
    </row>
    <row r="39" spans="1:8" x14ac:dyDescent="0.3">
      <c r="A39" s="503"/>
      <c r="B39" s="134">
        <f>B38/$G$42</f>
        <v>0.17558883871086986</v>
      </c>
      <c r="C39" s="134">
        <f t="shared" ref="C39:E39" si="6">C38/$G$42</f>
        <v>0.43031587507932301</v>
      </c>
      <c r="D39" s="134">
        <f t="shared" si="6"/>
        <v>0.24910511302376304</v>
      </c>
      <c r="E39" s="140">
        <f t="shared" si="6"/>
        <v>6.3674057827257545E-3</v>
      </c>
      <c r="F39" s="497"/>
      <c r="G39" s="135">
        <f>G38/G42</f>
        <v>0.86137723259668164</v>
      </c>
    </row>
    <row r="40" spans="1:8" ht="15" thickBot="1" x14ac:dyDescent="0.35">
      <c r="A40" s="136" t="s">
        <v>854</v>
      </c>
      <c r="B40" s="137">
        <v>0</v>
      </c>
      <c r="C40" s="137">
        <v>0</v>
      </c>
      <c r="D40" s="137">
        <v>0</v>
      </c>
      <c r="E40" s="137">
        <v>0</v>
      </c>
      <c r="F40" s="137">
        <v>0</v>
      </c>
      <c r="G40" s="138">
        <v>0</v>
      </c>
    </row>
    <row r="41" spans="1:8" ht="15" thickBot="1" x14ac:dyDescent="0.35">
      <c r="A41" s="136" t="s">
        <v>847</v>
      </c>
      <c r="B41" s="137">
        <f>SUM(B36,B38,B40)*0.04</f>
        <v>2280000</v>
      </c>
      <c r="C41" s="137">
        <f t="shared" ref="C41:F41" si="7">SUM(C36,C38,C40)*0.04</f>
        <v>5587600</v>
      </c>
      <c r="D41" s="137">
        <f t="shared" si="7"/>
        <v>3234600</v>
      </c>
      <c r="E41" s="137">
        <f t="shared" si="7"/>
        <v>1860000</v>
      </c>
      <c r="F41" s="137">
        <f t="shared" si="7"/>
        <v>22680</v>
      </c>
      <c r="G41" s="133">
        <f>SUM(B41:E41)</f>
        <v>12962200</v>
      </c>
      <c r="H41" s="3" t="s">
        <v>865</v>
      </c>
    </row>
    <row r="42" spans="1:8" ht="15" thickBot="1" x14ac:dyDescent="0.35">
      <c r="A42" s="136" t="s">
        <v>855</v>
      </c>
      <c r="B42" s="137">
        <f>SUM(B40,B38,B36)</f>
        <v>57000000</v>
      </c>
      <c r="C42" s="137">
        <f t="shared" ref="C42:F42" si="8">SUM(C40,C38,C36)</f>
        <v>139690000</v>
      </c>
      <c r="D42" s="137">
        <f t="shared" si="8"/>
        <v>80865000</v>
      </c>
      <c r="E42" s="137">
        <f t="shared" si="8"/>
        <v>46500000</v>
      </c>
      <c r="F42" s="137">
        <f t="shared" si="8"/>
        <v>567000</v>
      </c>
      <c r="G42" s="138">
        <f>SUM(G38,G36,G40)</f>
        <v>324622000</v>
      </c>
    </row>
    <row r="43" spans="1:8" x14ac:dyDescent="0.3">
      <c r="A43" s="495"/>
      <c r="B43" s="495"/>
      <c r="C43" s="495"/>
      <c r="D43" s="495"/>
      <c r="E43" s="495"/>
      <c r="F43" s="495"/>
      <c r="G43" s="495"/>
    </row>
  </sheetData>
  <mergeCells count="17">
    <mergeCell ref="A32:A34"/>
    <mergeCell ref="B18:G18"/>
    <mergeCell ref="F14:F15"/>
    <mergeCell ref="F38:F39"/>
    <mergeCell ref="A43:G43"/>
    <mergeCell ref="F32:F33"/>
    <mergeCell ref="B35:G35"/>
    <mergeCell ref="A36:A37"/>
    <mergeCell ref="B36:B37"/>
    <mergeCell ref="C36:C37"/>
    <mergeCell ref="D36:D37"/>
    <mergeCell ref="A38:A39"/>
    <mergeCell ref="H18:I18"/>
    <mergeCell ref="B1:E1"/>
    <mergeCell ref="C14:C15"/>
    <mergeCell ref="D14:D15"/>
    <mergeCell ref="E14:E15"/>
  </mergeCells>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3DA22-B61D-4E25-BC48-B09768D0218C}">
  <sheetPr>
    <tabColor rgb="FFCDE0FF"/>
  </sheetPr>
  <dimension ref="B2:I13"/>
  <sheetViews>
    <sheetView workbookViewId="0">
      <selection activeCell="E21" sqref="E21"/>
    </sheetView>
  </sheetViews>
  <sheetFormatPr defaultRowHeight="14.4" x14ac:dyDescent="0.3"/>
  <sheetData>
    <row r="2" spans="2:9" x14ac:dyDescent="0.3">
      <c r="I2" t="s">
        <v>878</v>
      </c>
    </row>
    <row r="5" spans="2:9" x14ac:dyDescent="0.3">
      <c r="C5" s="465">
        <v>2020</v>
      </c>
      <c r="D5" s="465">
        <v>2021</v>
      </c>
      <c r="E5" s="465">
        <v>2022</v>
      </c>
    </row>
    <row r="6" spans="2:9" x14ac:dyDescent="0.3">
      <c r="B6" t="s">
        <v>879</v>
      </c>
      <c r="C6" s="466">
        <v>12.52</v>
      </c>
      <c r="D6" s="466">
        <v>16.78</v>
      </c>
      <c r="E6" s="467">
        <v>25.84</v>
      </c>
    </row>
    <row r="7" spans="2:9" x14ac:dyDescent="0.3">
      <c r="B7" t="s">
        <v>880</v>
      </c>
      <c r="C7" s="466">
        <v>11</v>
      </c>
      <c r="D7" s="466">
        <v>11.21</v>
      </c>
      <c r="E7" s="467">
        <v>13.37</v>
      </c>
    </row>
    <row r="8" spans="2:9" x14ac:dyDescent="0.3">
      <c r="B8" t="s">
        <v>881</v>
      </c>
      <c r="C8" s="466">
        <v>6</v>
      </c>
      <c r="D8" s="466">
        <v>7.04</v>
      </c>
      <c r="E8" s="467">
        <v>7.89</v>
      </c>
    </row>
    <row r="9" spans="2:9" x14ac:dyDescent="0.3">
      <c r="B9" t="s">
        <v>882</v>
      </c>
      <c r="C9" s="466">
        <v>6.94</v>
      </c>
      <c r="D9" s="466">
        <v>7.31</v>
      </c>
      <c r="E9" s="467">
        <v>7.37</v>
      </c>
    </row>
    <row r="10" spans="2:9" x14ac:dyDescent="0.3">
      <c r="B10" t="s">
        <v>883</v>
      </c>
      <c r="C10" s="466">
        <v>1.73</v>
      </c>
      <c r="D10" s="466">
        <v>1.67</v>
      </c>
      <c r="E10" s="467">
        <v>1.81</v>
      </c>
    </row>
    <row r="11" spans="2:9" x14ac:dyDescent="0.3">
      <c r="B11" t="s">
        <v>884</v>
      </c>
      <c r="C11" s="466">
        <v>3.55</v>
      </c>
      <c r="D11" s="466">
        <v>3.46</v>
      </c>
      <c r="E11" s="467">
        <v>3.57</v>
      </c>
    </row>
    <row r="13" spans="2:9" x14ac:dyDescent="0.3">
      <c r="C13" s="468">
        <f>SUM(C6:C12)</f>
        <v>41.739999999999995</v>
      </c>
      <c r="D13" s="468">
        <f>SUM(D6:D12)</f>
        <v>47.470000000000006</v>
      </c>
      <c r="E13" s="468">
        <f>SUM(E6:E12)</f>
        <v>59.85</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CDE0FF"/>
  </sheetPr>
  <dimension ref="A1:Q99"/>
  <sheetViews>
    <sheetView workbookViewId="0">
      <pane xSplit="1" ySplit="5" topLeftCell="B81" activePane="bottomRight" state="frozen"/>
      <selection pane="topRight" activeCell="D7" sqref="D7:D36"/>
      <selection pane="bottomLeft" activeCell="D7" sqref="D7:D36"/>
      <selection pane="bottomRight" activeCell="A90" sqref="A90"/>
    </sheetView>
  </sheetViews>
  <sheetFormatPr defaultColWidth="8.6640625" defaultRowHeight="14.4" x14ac:dyDescent="0.3"/>
  <cols>
    <col min="1" max="1" width="13.6640625" style="2" customWidth="1"/>
    <col min="2" max="5" width="10.44140625" style="2" customWidth="1"/>
    <col min="6" max="6" width="11.44140625" style="2" customWidth="1"/>
    <col min="7" max="10" width="10.44140625" style="2" customWidth="1"/>
    <col min="11" max="12" width="10.6640625" style="2" customWidth="1"/>
    <col min="13" max="15" width="10.44140625" style="2" customWidth="1"/>
    <col min="16" max="16" width="11.44140625" style="2" customWidth="1"/>
    <col min="17" max="17" width="17.5546875" style="2" customWidth="1"/>
    <col min="18" max="16384" width="8.6640625" style="2"/>
  </cols>
  <sheetData>
    <row r="1" spans="1:17" ht="19.95" customHeight="1" x14ac:dyDescent="0.3">
      <c r="A1" s="510" t="s">
        <v>811</v>
      </c>
      <c r="B1" s="510"/>
      <c r="C1" s="510"/>
      <c r="D1" s="510"/>
      <c r="E1" s="510"/>
      <c r="F1" s="510"/>
      <c r="G1" s="510"/>
      <c r="H1" s="510"/>
      <c r="I1" s="510"/>
      <c r="J1" s="510"/>
      <c r="K1" s="510"/>
      <c r="L1" s="510"/>
      <c r="M1" s="510"/>
      <c r="N1" s="510"/>
      <c r="O1" s="510"/>
      <c r="P1" s="510"/>
      <c r="Q1" s="8"/>
    </row>
    <row r="2" spans="1:17" ht="13.95" customHeight="1" x14ac:dyDescent="0.3">
      <c r="A2" s="515" t="s">
        <v>812</v>
      </c>
      <c r="B2" s="515"/>
      <c r="C2" s="515"/>
      <c r="D2" s="515"/>
      <c r="E2" s="515"/>
      <c r="F2" s="515"/>
      <c r="G2" s="515"/>
      <c r="H2" s="515"/>
      <c r="I2" s="515"/>
      <c r="J2" s="515"/>
      <c r="K2" s="515"/>
      <c r="L2" s="515"/>
      <c r="M2" s="515"/>
      <c r="N2" s="515"/>
      <c r="O2" s="515"/>
      <c r="P2" s="515"/>
      <c r="Q2" s="8"/>
    </row>
    <row r="3" spans="1:17" ht="13.95" customHeight="1" x14ac:dyDescent="0.3">
      <c r="A3" s="516" t="s">
        <v>813</v>
      </c>
      <c r="B3" s="9" t="s">
        <v>814</v>
      </c>
      <c r="C3" s="9" t="s">
        <v>815</v>
      </c>
      <c r="D3" s="519" t="s">
        <v>816</v>
      </c>
      <c r="E3" s="520"/>
      <c r="F3" s="520"/>
      <c r="G3" s="520"/>
      <c r="H3" s="520"/>
      <c r="I3" s="520"/>
      <c r="J3" s="520"/>
      <c r="K3" s="520"/>
      <c r="L3" s="520"/>
      <c r="M3" s="520"/>
      <c r="N3" s="520"/>
      <c r="O3" s="520"/>
      <c r="P3" s="520"/>
      <c r="Q3" s="8"/>
    </row>
    <row r="4" spans="1:17" ht="34.200000000000003" customHeight="1" x14ac:dyDescent="0.3">
      <c r="A4" s="517"/>
      <c r="B4" s="10" t="s">
        <v>817</v>
      </c>
      <c r="C4" s="10" t="s">
        <v>818</v>
      </c>
      <c r="D4" s="504" t="s">
        <v>135</v>
      </c>
      <c r="E4" s="10" t="s">
        <v>135</v>
      </c>
      <c r="F4" s="10" t="s">
        <v>135</v>
      </c>
      <c r="G4" s="507" t="s">
        <v>819</v>
      </c>
      <c r="H4" s="508"/>
      <c r="I4" s="516"/>
      <c r="J4" s="7" t="s">
        <v>820</v>
      </c>
      <c r="K4" s="504" t="s">
        <v>821</v>
      </c>
      <c r="L4" s="13" t="s">
        <v>822</v>
      </c>
      <c r="M4" s="504" t="s">
        <v>823</v>
      </c>
      <c r="N4" s="507" t="s">
        <v>824</v>
      </c>
      <c r="O4" s="508"/>
      <c r="P4" s="508"/>
      <c r="Q4" s="513"/>
    </row>
    <row r="5" spans="1:17" ht="36" customHeight="1" x14ac:dyDescent="0.3">
      <c r="A5" s="517"/>
      <c r="B5" s="10" t="s">
        <v>825</v>
      </c>
      <c r="C5" s="10" t="s">
        <v>826</v>
      </c>
      <c r="D5" s="505"/>
      <c r="E5" s="10" t="s">
        <v>827</v>
      </c>
      <c r="F5" s="10" t="s">
        <v>828</v>
      </c>
      <c r="G5" s="509"/>
      <c r="H5" s="510"/>
      <c r="I5" s="517"/>
      <c r="J5" s="7" t="s">
        <v>829</v>
      </c>
      <c r="K5" s="505"/>
      <c r="L5" s="13" t="s">
        <v>830</v>
      </c>
      <c r="M5" s="505"/>
      <c r="N5" s="509"/>
      <c r="O5" s="510"/>
      <c r="P5" s="510"/>
      <c r="Q5" s="513"/>
    </row>
    <row r="6" spans="1:17" ht="15" customHeight="1" x14ac:dyDescent="0.3">
      <c r="A6" s="517"/>
      <c r="B6" s="10"/>
      <c r="C6" s="10"/>
      <c r="D6" s="505"/>
      <c r="E6" s="10"/>
      <c r="F6" s="10"/>
      <c r="G6" s="511"/>
      <c r="H6" s="512"/>
      <c r="I6" s="518"/>
      <c r="J6" s="7"/>
      <c r="K6" s="505"/>
      <c r="L6" s="13" t="s">
        <v>831</v>
      </c>
      <c r="M6" s="505"/>
      <c r="N6" s="511"/>
      <c r="O6" s="512"/>
      <c r="P6" s="512"/>
      <c r="Q6" s="513"/>
    </row>
    <row r="7" spans="1:17" ht="15" customHeight="1" x14ac:dyDescent="0.3">
      <c r="A7" s="518"/>
      <c r="B7" s="11"/>
      <c r="C7" s="11"/>
      <c r="D7" s="506"/>
      <c r="E7" s="11"/>
      <c r="F7" s="11"/>
      <c r="G7" s="12" t="s">
        <v>135</v>
      </c>
      <c r="H7" s="15" t="s">
        <v>832</v>
      </c>
      <c r="I7" s="11" t="s">
        <v>829</v>
      </c>
      <c r="J7" s="12"/>
      <c r="K7" s="506"/>
      <c r="L7" s="14" t="s">
        <v>833</v>
      </c>
      <c r="M7" s="506"/>
      <c r="N7" s="14" t="s">
        <v>135</v>
      </c>
      <c r="O7" s="14" t="s">
        <v>827</v>
      </c>
      <c r="P7" s="14" t="s">
        <v>828</v>
      </c>
      <c r="Q7" s="8"/>
    </row>
    <row r="8" spans="1:17" ht="15" customHeight="1" x14ac:dyDescent="0.3">
      <c r="A8" s="37">
        <v>1940</v>
      </c>
      <c r="B8" s="38">
        <v>98.2</v>
      </c>
      <c r="C8" s="38">
        <v>7.7100000000000002E-2</v>
      </c>
      <c r="D8" s="38">
        <v>6.5299999999999997E-2</v>
      </c>
      <c r="E8" s="38">
        <v>6.1400000000000003E-2</v>
      </c>
      <c r="F8" s="38">
        <v>6.6199999999999995E-2</v>
      </c>
      <c r="G8" s="38">
        <v>7.3899999999999993E-2</v>
      </c>
      <c r="H8" s="38">
        <v>7.3899999999999993E-2</v>
      </c>
      <c r="I8" s="38">
        <v>7.3899999999999993E-2</v>
      </c>
      <c r="J8" s="39">
        <v>4.6300000000000001E-2</v>
      </c>
      <c r="K8" s="40">
        <v>7.7100000000000002E-2</v>
      </c>
      <c r="L8" s="40">
        <v>4.4200000000000003E-2</v>
      </c>
      <c r="M8" s="40">
        <v>6.2700000000000006E-2</v>
      </c>
      <c r="N8" s="40">
        <v>0.13780000000000001</v>
      </c>
      <c r="O8" s="40">
        <v>0.14299999999999999</v>
      </c>
      <c r="P8" s="40">
        <v>0.13569999999999999</v>
      </c>
      <c r="Q8" s="8"/>
    </row>
    <row r="9" spans="1:17" ht="15" customHeight="1" x14ac:dyDescent="0.3">
      <c r="A9" s="37">
        <v>1941</v>
      </c>
      <c r="B9" s="38">
        <v>116.2</v>
      </c>
      <c r="C9" s="38">
        <v>7.9899999999999999E-2</v>
      </c>
      <c r="D9" s="38">
        <v>7.2400000000000006E-2</v>
      </c>
      <c r="E9" s="38">
        <v>7.5600000000000001E-2</v>
      </c>
      <c r="F9" s="38">
        <v>6.9699999999999998E-2</v>
      </c>
      <c r="G9" s="38">
        <v>7.6600000000000001E-2</v>
      </c>
      <c r="H9" s="38">
        <v>7.6600000000000001E-2</v>
      </c>
      <c r="I9" s="38">
        <v>7.6600000000000001E-2</v>
      </c>
      <c r="J9" s="39">
        <v>4.19E-2</v>
      </c>
      <c r="K9" s="40">
        <v>7.9899999999999999E-2</v>
      </c>
      <c r="L9" s="40">
        <v>4.3900000000000002E-2</v>
      </c>
      <c r="M9" s="40">
        <v>6.4100000000000004E-2</v>
      </c>
      <c r="N9" s="40">
        <v>0.1487</v>
      </c>
      <c r="O9" s="40">
        <v>0.15160000000000001</v>
      </c>
      <c r="P9" s="40">
        <v>0.1421</v>
      </c>
      <c r="Q9" s="8"/>
    </row>
    <row r="10" spans="1:17" ht="15" customHeight="1" x14ac:dyDescent="0.3">
      <c r="A10" s="37">
        <v>1942</v>
      </c>
      <c r="B10" s="38">
        <v>147.69999999999999</v>
      </c>
      <c r="C10" s="38">
        <v>8.5900000000000004E-2</v>
      </c>
      <c r="D10" s="38">
        <v>8.2299999999999998E-2</v>
      </c>
      <c r="E10" s="38">
        <v>9.2499999999999999E-2</v>
      </c>
      <c r="F10" s="38">
        <v>6.3299999999999995E-2</v>
      </c>
      <c r="G10" s="38">
        <v>8.3799999999999999E-2</v>
      </c>
      <c r="H10" s="38">
        <v>8.3799999999999999E-2</v>
      </c>
      <c r="I10" s="38">
        <v>8.3799999999999999E-2</v>
      </c>
      <c r="J10" s="39">
        <v>4.1099999999999998E-2</v>
      </c>
      <c r="K10" s="40">
        <v>8.5900000000000004E-2</v>
      </c>
      <c r="L10" s="40">
        <v>4.7100000000000003E-2</v>
      </c>
      <c r="M10" s="40">
        <v>5.5300000000000002E-2</v>
      </c>
      <c r="N10" s="40">
        <v>0.1555</v>
      </c>
      <c r="O10" s="40">
        <v>0.15570000000000001</v>
      </c>
      <c r="P10" s="40">
        <v>0.15329999999999999</v>
      </c>
      <c r="Q10" s="8"/>
    </row>
    <row r="11" spans="1:17" ht="15" customHeight="1" x14ac:dyDescent="0.3">
      <c r="A11" s="37">
        <v>1943</v>
      </c>
      <c r="B11" s="38">
        <v>184.6</v>
      </c>
      <c r="C11" s="38">
        <v>9.1499999999999998E-2</v>
      </c>
      <c r="D11" s="38">
        <v>9.1200000000000003E-2</v>
      </c>
      <c r="E11" s="38">
        <v>9.9299999999999999E-2</v>
      </c>
      <c r="F11" s="38">
        <v>6.25E-2</v>
      </c>
      <c r="G11" s="38">
        <v>9.2799999999999994E-2</v>
      </c>
      <c r="H11" s="38">
        <v>9.2799999999999994E-2</v>
      </c>
      <c r="I11" s="38">
        <v>9.2799999999999994E-2</v>
      </c>
      <c r="J11" s="39">
        <v>4.3799999999999999E-2</v>
      </c>
      <c r="K11" s="40">
        <v>9.1499999999999998E-2</v>
      </c>
      <c r="L11" s="40">
        <v>5.16E-2</v>
      </c>
      <c r="M11" s="40">
        <v>5.4199999999999998E-2</v>
      </c>
      <c r="N11" s="40">
        <v>0.1525</v>
      </c>
      <c r="O11" s="40">
        <v>0.1525</v>
      </c>
      <c r="P11" s="40">
        <v>0.15620000000000001</v>
      </c>
      <c r="Q11" s="8"/>
    </row>
    <row r="12" spans="1:17" ht="15" customHeight="1" x14ac:dyDescent="0.3">
      <c r="A12" s="37">
        <v>1944</v>
      </c>
      <c r="B12" s="38">
        <v>213.8</v>
      </c>
      <c r="C12" s="38">
        <v>9.4700000000000006E-2</v>
      </c>
      <c r="D12" s="38">
        <v>8.3799999999999999E-2</v>
      </c>
      <c r="E12" s="38">
        <v>8.6900000000000005E-2</v>
      </c>
      <c r="F12" s="38">
        <v>6.7599999999999993E-2</v>
      </c>
      <c r="G12" s="38">
        <v>9.9599999999999994E-2</v>
      </c>
      <c r="H12" s="38">
        <v>9.9599999999999994E-2</v>
      </c>
      <c r="I12" s="38">
        <v>9.9599999999999994E-2</v>
      </c>
      <c r="J12" s="39">
        <v>4.6100000000000002E-2</v>
      </c>
      <c r="K12" s="40">
        <v>9.4700000000000006E-2</v>
      </c>
      <c r="L12" s="40">
        <v>5.6899999999999999E-2</v>
      </c>
      <c r="M12" s="40">
        <v>5.79E-2</v>
      </c>
      <c r="N12" s="40">
        <v>0.14810000000000001</v>
      </c>
      <c r="O12" s="40">
        <v>0.14799999999999999</v>
      </c>
      <c r="P12" s="40">
        <v>0.1633</v>
      </c>
      <c r="Q12" s="8"/>
    </row>
    <row r="13" spans="1:17" ht="15" customHeight="1" x14ac:dyDescent="0.3">
      <c r="A13" s="37">
        <v>1945</v>
      </c>
      <c r="B13" s="38">
        <v>226.4</v>
      </c>
      <c r="C13" s="38">
        <v>9.7000000000000003E-2</v>
      </c>
      <c r="D13" s="38">
        <v>7.8799999999999995E-2</v>
      </c>
      <c r="E13" s="38">
        <v>7.9000000000000001E-2</v>
      </c>
      <c r="F13" s="38">
        <v>7.7799999999999994E-2</v>
      </c>
      <c r="G13" s="38">
        <v>0.1048</v>
      </c>
      <c r="H13" s="38">
        <v>0.1048</v>
      </c>
      <c r="I13" s="38">
        <v>0.1045</v>
      </c>
      <c r="J13" s="39">
        <v>4.6600000000000003E-2</v>
      </c>
      <c r="K13" s="40">
        <v>9.7000000000000003E-2</v>
      </c>
      <c r="L13" s="40">
        <v>5.9900000000000002E-2</v>
      </c>
      <c r="M13" s="40">
        <v>6.1400000000000003E-2</v>
      </c>
      <c r="N13" s="40">
        <v>0.1381</v>
      </c>
      <c r="O13" s="40">
        <v>0.13800000000000001</v>
      </c>
      <c r="P13" s="40">
        <v>0.16900000000000001</v>
      </c>
      <c r="Q13" s="8"/>
    </row>
    <row r="14" spans="1:17" ht="15" customHeight="1" x14ac:dyDescent="0.3">
      <c r="A14" s="37">
        <v>1946</v>
      </c>
      <c r="B14" s="38">
        <v>228</v>
      </c>
      <c r="C14" s="38">
        <v>0.10440000000000001</v>
      </c>
      <c r="D14" s="38">
        <v>7.9299999999999995E-2</v>
      </c>
      <c r="E14" s="38">
        <v>7.5399999999999995E-2</v>
      </c>
      <c r="F14" s="38">
        <v>9.5799999999999996E-2</v>
      </c>
      <c r="G14" s="38">
        <v>0.1104</v>
      </c>
      <c r="H14" s="38">
        <v>0.1104</v>
      </c>
      <c r="I14" s="38">
        <v>0.11020000000000001</v>
      </c>
      <c r="J14" s="39">
        <v>5.1400000000000001E-2</v>
      </c>
      <c r="K14" s="40">
        <v>0.10440000000000001</v>
      </c>
      <c r="L14" s="40">
        <v>6.2399999999999997E-2</v>
      </c>
      <c r="M14" s="40">
        <v>6.6799999999999998E-2</v>
      </c>
      <c r="N14" s="40">
        <v>0.14019999999999999</v>
      </c>
      <c r="O14" s="40">
        <v>0.13980000000000001</v>
      </c>
      <c r="P14" s="40">
        <v>0.15959999999999999</v>
      </c>
      <c r="Q14" s="8"/>
    </row>
    <row r="15" spans="1:17" ht="15" customHeight="1" x14ac:dyDescent="0.3">
      <c r="A15" s="37">
        <v>1947</v>
      </c>
      <c r="B15" s="38">
        <v>238.9</v>
      </c>
      <c r="C15" s="38">
        <v>0.1158</v>
      </c>
      <c r="D15" s="38">
        <v>8.9599999999999999E-2</v>
      </c>
      <c r="E15" s="38">
        <v>8.1299999999999997E-2</v>
      </c>
      <c r="F15" s="38">
        <v>9.5399999999999999E-2</v>
      </c>
      <c r="G15" s="38">
        <v>0.1187</v>
      </c>
      <c r="H15" s="38">
        <v>0.1187</v>
      </c>
      <c r="I15" s="38">
        <v>0.1186</v>
      </c>
      <c r="J15" s="39">
        <v>0.1246</v>
      </c>
      <c r="K15" s="40">
        <v>0.1158</v>
      </c>
      <c r="L15" s="40">
        <v>6.6100000000000006E-2</v>
      </c>
      <c r="M15" s="40">
        <v>6.88E-2</v>
      </c>
      <c r="N15" s="40">
        <v>0.15609999999999999</v>
      </c>
      <c r="O15" s="40">
        <v>0.15570000000000001</v>
      </c>
      <c r="P15" s="40">
        <v>0.15809999999999999</v>
      </c>
      <c r="Q15" s="8"/>
    </row>
    <row r="16" spans="1:17" ht="15" customHeight="1" x14ac:dyDescent="0.3">
      <c r="A16" s="37">
        <v>1948</v>
      </c>
      <c r="B16" s="38">
        <v>261.89999999999998</v>
      </c>
      <c r="C16" s="38">
        <v>0.1268</v>
      </c>
      <c r="D16" s="38">
        <v>9.3200000000000005E-2</v>
      </c>
      <c r="E16" s="38">
        <v>7.6300000000000007E-2</v>
      </c>
      <c r="F16" s="38">
        <v>0.1033</v>
      </c>
      <c r="G16" s="38">
        <v>0.12959999999999999</v>
      </c>
      <c r="H16" s="38">
        <v>0.12959999999999999</v>
      </c>
      <c r="I16" s="38">
        <v>0.1295</v>
      </c>
      <c r="J16" s="39">
        <v>7.0000000000000007E-2</v>
      </c>
      <c r="K16" s="40">
        <v>0.1268</v>
      </c>
      <c r="L16" s="40">
        <v>7.1400000000000005E-2</v>
      </c>
      <c r="M16" s="40">
        <v>7.5700000000000003E-2</v>
      </c>
      <c r="N16" s="40">
        <v>0.1736</v>
      </c>
      <c r="O16" s="40">
        <v>0.17080000000000001</v>
      </c>
      <c r="P16" s="40">
        <v>0.184</v>
      </c>
      <c r="Q16" s="8"/>
    </row>
    <row r="17" spans="1:17" ht="15" customHeight="1" x14ac:dyDescent="0.3">
      <c r="A17" s="37">
        <v>1949</v>
      </c>
      <c r="B17" s="38">
        <v>276.5</v>
      </c>
      <c r="C17" s="38">
        <v>0.13109999999999999</v>
      </c>
      <c r="D17" s="38">
        <v>8.9599999999999999E-2</v>
      </c>
      <c r="E17" s="38">
        <v>7.5899999999999995E-2</v>
      </c>
      <c r="F17" s="38">
        <v>9.8699999999999996E-2</v>
      </c>
      <c r="G17" s="38">
        <v>0.1331</v>
      </c>
      <c r="H17" s="38">
        <v>0.1331</v>
      </c>
      <c r="I17" s="38">
        <v>0.13300000000000001</v>
      </c>
      <c r="J17" s="39">
        <v>7.3700000000000002E-2</v>
      </c>
      <c r="K17" s="40">
        <v>0.13109999999999999</v>
      </c>
      <c r="L17" s="40">
        <v>6.9400000000000003E-2</v>
      </c>
      <c r="M17" s="40">
        <v>7.3700000000000002E-2</v>
      </c>
      <c r="N17" s="40">
        <v>0.18229999999999999</v>
      </c>
      <c r="O17" s="40">
        <v>0.18</v>
      </c>
      <c r="P17" s="40">
        <v>0.18770000000000001</v>
      </c>
      <c r="Q17" s="8"/>
    </row>
    <row r="18" spans="1:17" ht="15" customHeight="1" x14ac:dyDescent="0.3">
      <c r="A18" s="37">
        <v>1950</v>
      </c>
      <c r="B18" s="38">
        <v>278.7</v>
      </c>
      <c r="C18" s="38">
        <v>0.1293</v>
      </c>
      <c r="D18" s="38">
        <v>9.4100000000000003E-2</v>
      </c>
      <c r="E18" s="38">
        <v>7.6700000000000004E-2</v>
      </c>
      <c r="F18" s="38">
        <v>0.1055</v>
      </c>
      <c r="G18" s="38">
        <v>0.1313</v>
      </c>
      <c r="H18" s="38">
        <v>0.13139999999999999</v>
      </c>
      <c r="I18" s="38">
        <v>0.13089999999999999</v>
      </c>
      <c r="J18" s="39">
        <v>6.9900000000000004E-2</v>
      </c>
      <c r="K18" s="40">
        <v>0.1293</v>
      </c>
      <c r="L18" s="40">
        <v>7.3099999999999998E-2</v>
      </c>
      <c r="M18" s="40">
        <v>7.8799999999999995E-2</v>
      </c>
      <c r="N18" s="40">
        <v>0.1804</v>
      </c>
      <c r="O18" s="40">
        <v>0.17929999999999999</v>
      </c>
      <c r="P18" s="40">
        <v>0.18210000000000001</v>
      </c>
      <c r="Q18" s="8"/>
    </row>
    <row r="19" spans="1:17" ht="15" customHeight="1" x14ac:dyDescent="0.3">
      <c r="A19" s="37">
        <v>1951</v>
      </c>
      <c r="B19" s="38">
        <v>327.10000000000002</v>
      </c>
      <c r="C19" s="38">
        <v>0.13619999999999999</v>
      </c>
      <c r="D19" s="38">
        <v>9.4700000000000006E-2</v>
      </c>
      <c r="E19" s="38">
        <v>8.1299999999999997E-2</v>
      </c>
      <c r="F19" s="38">
        <v>0.115</v>
      </c>
      <c r="G19" s="38">
        <v>0.13880000000000001</v>
      </c>
      <c r="H19" s="38">
        <v>0.1389</v>
      </c>
      <c r="I19" s="38">
        <v>0.13830000000000001</v>
      </c>
      <c r="J19" s="39">
        <v>8.3599999999999994E-2</v>
      </c>
      <c r="K19" s="40">
        <v>0.13619999999999999</v>
      </c>
      <c r="L19" s="40">
        <v>7.2099999999999997E-2</v>
      </c>
      <c r="M19" s="40">
        <v>8.0500000000000002E-2</v>
      </c>
      <c r="N19" s="40">
        <v>0.19239999999999999</v>
      </c>
      <c r="O19" s="40">
        <v>0.193</v>
      </c>
      <c r="P19" s="40">
        <v>0.1898</v>
      </c>
      <c r="Q19" s="8"/>
    </row>
    <row r="20" spans="1:17" ht="15" customHeight="1" x14ac:dyDescent="0.3">
      <c r="A20" s="37">
        <v>1952</v>
      </c>
      <c r="B20" s="38">
        <v>357.1</v>
      </c>
      <c r="C20" s="38">
        <v>0.14169999999999999</v>
      </c>
      <c r="D20" s="38">
        <v>9.4399999999999998E-2</v>
      </c>
      <c r="E20" s="38">
        <v>8.4500000000000006E-2</v>
      </c>
      <c r="F20" s="38">
        <v>0.1258</v>
      </c>
      <c r="G20" s="38">
        <v>0.14430000000000001</v>
      </c>
      <c r="H20" s="38">
        <v>0.14430000000000001</v>
      </c>
      <c r="I20" s="38">
        <v>0.14380000000000001</v>
      </c>
      <c r="J20" s="39">
        <v>8.3900000000000002E-2</v>
      </c>
      <c r="K20" s="40">
        <v>0.14169999999999999</v>
      </c>
      <c r="L20" s="40">
        <v>7.7700000000000005E-2</v>
      </c>
      <c r="M20" s="40">
        <v>8.7800000000000003E-2</v>
      </c>
      <c r="N20" s="40">
        <v>0.2019</v>
      </c>
      <c r="O20" s="40">
        <v>0.20180000000000001</v>
      </c>
      <c r="P20" s="40">
        <v>0.20250000000000001</v>
      </c>
      <c r="Q20" s="8"/>
    </row>
    <row r="21" spans="1:17" ht="15" customHeight="1" x14ac:dyDescent="0.3">
      <c r="A21" s="37">
        <v>1953</v>
      </c>
      <c r="B21" s="38">
        <v>382.1</v>
      </c>
      <c r="C21" s="38">
        <v>0.14430000000000001</v>
      </c>
      <c r="D21" s="38">
        <v>0.10150000000000001</v>
      </c>
      <c r="E21" s="38">
        <v>9.3299999999999994E-2</v>
      </c>
      <c r="F21" s="38">
        <v>0.12670000000000001</v>
      </c>
      <c r="G21" s="38">
        <v>0.1464</v>
      </c>
      <c r="H21" s="38">
        <v>0.14649999999999999</v>
      </c>
      <c r="I21" s="38">
        <v>0.14599999999999999</v>
      </c>
      <c r="J21" s="39">
        <v>8.7900000000000006E-2</v>
      </c>
      <c r="K21" s="40">
        <v>0.14430000000000001</v>
      </c>
      <c r="L21" s="40">
        <v>8.2199999999999995E-2</v>
      </c>
      <c r="M21" s="40">
        <v>9.2299999999999993E-2</v>
      </c>
      <c r="N21" s="40">
        <v>0.20449999999999999</v>
      </c>
      <c r="O21" s="40">
        <v>0.20419999999999999</v>
      </c>
      <c r="P21" s="40">
        <v>0.2089</v>
      </c>
      <c r="Q21" s="8"/>
    </row>
    <row r="22" spans="1:17" ht="15" customHeight="1" x14ac:dyDescent="0.3">
      <c r="A22" s="37">
        <v>1954</v>
      </c>
      <c r="B22" s="38">
        <v>387.2</v>
      </c>
      <c r="C22" s="38">
        <v>0.14599999999999999</v>
      </c>
      <c r="D22" s="38">
        <v>0.1046</v>
      </c>
      <c r="E22" s="38">
        <v>9.4899999999999998E-2</v>
      </c>
      <c r="F22" s="38">
        <v>0.13650000000000001</v>
      </c>
      <c r="G22" s="38">
        <v>0.14829999999999999</v>
      </c>
      <c r="H22" s="38">
        <v>0.14829999999999999</v>
      </c>
      <c r="I22" s="38">
        <v>0.14810000000000001</v>
      </c>
      <c r="J22" s="39">
        <v>8.4199999999999997E-2</v>
      </c>
      <c r="K22" s="40">
        <v>0.14599999999999999</v>
      </c>
      <c r="L22" s="40">
        <v>8.5099999999999995E-2</v>
      </c>
      <c r="M22" s="40">
        <v>9.8699999999999996E-2</v>
      </c>
      <c r="N22" s="40">
        <v>0.2026</v>
      </c>
      <c r="O22" s="40">
        <v>0.20230000000000001</v>
      </c>
      <c r="P22" s="40">
        <v>0.20730000000000001</v>
      </c>
      <c r="Q22" s="8"/>
    </row>
    <row r="23" spans="1:17" ht="15" customHeight="1" x14ac:dyDescent="0.3">
      <c r="A23" s="37">
        <v>1955</v>
      </c>
      <c r="B23" s="38">
        <v>406.3</v>
      </c>
      <c r="C23" s="38">
        <v>0.14710000000000001</v>
      </c>
      <c r="D23" s="38">
        <v>0.1081</v>
      </c>
      <c r="E23" s="38">
        <v>9.8000000000000004E-2</v>
      </c>
      <c r="F23" s="38">
        <v>0.13039999999999999</v>
      </c>
      <c r="G23" s="38">
        <v>0.1482</v>
      </c>
      <c r="H23" s="38">
        <v>0.1482</v>
      </c>
      <c r="I23" s="38">
        <v>0.14810000000000001</v>
      </c>
      <c r="J23" s="39">
        <v>8.5800000000000001E-2</v>
      </c>
      <c r="K23" s="40">
        <v>0.14710000000000001</v>
      </c>
      <c r="L23" s="40">
        <v>8.7400000000000005E-2</v>
      </c>
      <c r="M23" s="40">
        <v>9.5500000000000002E-2</v>
      </c>
      <c r="N23" s="40">
        <v>0.20830000000000001</v>
      </c>
      <c r="O23" s="40">
        <v>0.20860000000000001</v>
      </c>
      <c r="P23" s="40">
        <v>0.20330000000000001</v>
      </c>
      <c r="Q23" s="8"/>
    </row>
    <row r="24" spans="1:17" ht="15" customHeight="1" x14ac:dyDescent="0.3">
      <c r="A24" s="37">
        <v>1956</v>
      </c>
      <c r="B24" s="38">
        <v>438.3</v>
      </c>
      <c r="C24" s="38">
        <v>0.15090000000000001</v>
      </c>
      <c r="D24" s="38">
        <v>0.1129</v>
      </c>
      <c r="E24" s="38">
        <v>0.10390000000000001</v>
      </c>
      <c r="F24" s="38">
        <v>0.13009999999999999</v>
      </c>
      <c r="G24" s="38">
        <v>0.15</v>
      </c>
      <c r="H24" s="38">
        <v>0.15</v>
      </c>
      <c r="I24" s="38">
        <v>0.14990000000000001</v>
      </c>
      <c r="J24" s="39">
        <v>8.7099999999999997E-2</v>
      </c>
      <c r="K24" s="40">
        <v>0.15090000000000001</v>
      </c>
      <c r="L24" s="40">
        <v>8.8400000000000006E-2</v>
      </c>
      <c r="M24" s="40">
        <v>9.5200000000000007E-2</v>
      </c>
      <c r="N24" s="40">
        <v>0.21929999999999999</v>
      </c>
      <c r="O24" s="40">
        <v>0.2198</v>
      </c>
      <c r="P24" s="40">
        <v>0.2107</v>
      </c>
      <c r="Q24" s="8"/>
    </row>
    <row r="25" spans="1:17" ht="15" customHeight="1" x14ac:dyDescent="0.3">
      <c r="A25" s="37">
        <v>1957</v>
      </c>
      <c r="B25" s="38">
        <v>463.4</v>
      </c>
      <c r="C25" s="38">
        <v>0.1565</v>
      </c>
      <c r="D25" s="38">
        <v>0.11849999999999999</v>
      </c>
      <c r="E25" s="38">
        <v>0.10929999999999999</v>
      </c>
      <c r="F25" s="38">
        <v>0.1351</v>
      </c>
      <c r="G25" s="38">
        <v>0.1542</v>
      </c>
      <c r="H25" s="38">
        <v>0.1542</v>
      </c>
      <c r="I25" s="38">
        <v>0.15409999999999999</v>
      </c>
      <c r="J25" s="39">
        <v>9.5000000000000001E-2</v>
      </c>
      <c r="K25" s="40">
        <v>0.1565</v>
      </c>
      <c r="L25" s="40">
        <v>9.0399999999999994E-2</v>
      </c>
      <c r="M25" s="40">
        <v>9.8400000000000001E-2</v>
      </c>
      <c r="N25" s="40">
        <v>0.23150000000000001</v>
      </c>
      <c r="O25" s="40">
        <v>0.23219999999999999</v>
      </c>
      <c r="P25" s="40">
        <v>0.22120000000000001</v>
      </c>
      <c r="Q25" s="8"/>
    </row>
    <row r="26" spans="1:17" ht="15" customHeight="1" x14ac:dyDescent="0.3">
      <c r="A26" s="37">
        <v>1958</v>
      </c>
      <c r="B26" s="38">
        <v>473.5</v>
      </c>
      <c r="C26" s="38">
        <v>0.16120000000000001</v>
      </c>
      <c r="D26" s="38">
        <v>0.1255</v>
      </c>
      <c r="E26" s="38">
        <v>0.1144</v>
      </c>
      <c r="F26" s="38">
        <v>0.14399999999999999</v>
      </c>
      <c r="G26" s="38">
        <v>0.1588</v>
      </c>
      <c r="H26" s="38">
        <v>0.1588</v>
      </c>
      <c r="I26" s="38">
        <v>0.15870000000000001</v>
      </c>
      <c r="J26" s="39">
        <v>0.1053</v>
      </c>
      <c r="K26" s="40">
        <v>0.16120000000000001</v>
      </c>
      <c r="L26" s="40">
        <v>9.6799999999999997E-2</v>
      </c>
      <c r="M26" s="40">
        <v>0.107</v>
      </c>
      <c r="N26" s="40">
        <v>0.23880000000000001</v>
      </c>
      <c r="O26" s="40">
        <v>0.2397</v>
      </c>
      <c r="P26" s="40">
        <v>0.22800000000000001</v>
      </c>
      <c r="Q26" s="8"/>
    </row>
    <row r="27" spans="1:17" ht="15" customHeight="1" x14ac:dyDescent="0.3">
      <c r="A27" s="37">
        <v>1959</v>
      </c>
      <c r="B27" s="38">
        <v>504.6</v>
      </c>
      <c r="C27" s="38">
        <v>0.16370000000000001</v>
      </c>
      <c r="D27" s="38">
        <v>0.13070000000000001</v>
      </c>
      <c r="E27" s="38">
        <v>0.12230000000000001</v>
      </c>
      <c r="F27" s="38">
        <v>0.1419</v>
      </c>
      <c r="G27" s="38">
        <v>0.161</v>
      </c>
      <c r="H27" s="38">
        <v>0.161</v>
      </c>
      <c r="I27" s="38">
        <v>0.16089999999999999</v>
      </c>
      <c r="J27" s="39">
        <v>0.11260000000000001</v>
      </c>
      <c r="K27" s="40">
        <v>0.16370000000000001</v>
      </c>
      <c r="L27" s="40">
        <v>0.1016</v>
      </c>
      <c r="M27" s="40">
        <v>0.11070000000000001</v>
      </c>
      <c r="N27" s="40">
        <v>0.24299999999999999</v>
      </c>
      <c r="O27" s="40">
        <v>0.24399999999999999</v>
      </c>
      <c r="P27" s="40">
        <v>0.23169999999999999</v>
      </c>
      <c r="Q27" s="8"/>
    </row>
    <row r="28" spans="1:17" ht="15" customHeight="1" x14ac:dyDescent="0.3">
      <c r="A28" s="37">
        <v>1960</v>
      </c>
      <c r="B28" s="38">
        <v>534.29999999999995</v>
      </c>
      <c r="C28" s="38">
        <v>0.16589999999999999</v>
      </c>
      <c r="D28" s="38">
        <v>0.13270000000000001</v>
      </c>
      <c r="E28" s="38">
        <v>0.121</v>
      </c>
      <c r="F28" s="38">
        <v>0.1484</v>
      </c>
      <c r="G28" s="38">
        <v>0.16400000000000001</v>
      </c>
      <c r="H28" s="38">
        <v>0.1641</v>
      </c>
      <c r="I28" s="38">
        <v>0.16389999999999999</v>
      </c>
      <c r="J28" s="39">
        <v>0.1132</v>
      </c>
      <c r="K28" s="40">
        <v>0.16589999999999999</v>
      </c>
      <c r="L28" s="40">
        <v>0.1008</v>
      </c>
      <c r="M28" s="40">
        <v>0.1144</v>
      </c>
      <c r="N28" s="40">
        <v>0.2447</v>
      </c>
      <c r="O28" s="40">
        <v>0.24590000000000001</v>
      </c>
      <c r="P28" s="40">
        <v>0.23480000000000001</v>
      </c>
      <c r="Q28" s="8"/>
    </row>
    <row r="29" spans="1:17" ht="15" customHeight="1" x14ac:dyDescent="0.3">
      <c r="A29" s="37">
        <v>1961</v>
      </c>
      <c r="B29" s="38">
        <v>546.6</v>
      </c>
      <c r="C29" s="38">
        <v>0.16819999999999999</v>
      </c>
      <c r="D29" s="38">
        <v>0.13569999999999999</v>
      </c>
      <c r="E29" s="38">
        <v>0.12330000000000001</v>
      </c>
      <c r="F29" s="38">
        <v>0.15140000000000001</v>
      </c>
      <c r="G29" s="38">
        <v>0.1663</v>
      </c>
      <c r="H29" s="38">
        <v>0.1663</v>
      </c>
      <c r="I29" s="38">
        <v>0.16619999999999999</v>
      </c>
      <c r="J29" s="39">
        <v>0.1111</v>
      </c>
      <c r="K29" s="40">
        <v>0.16819999999999999</v>
      </c>
      <c r="L29" s="40">
        <v>0.10580000000000001</v>
      </c>
      <c r="M29" s="40">
        <v>0.1206</v>
      </c>
      <c r="N29" s="40">
        <v>0.24610000000000001</v>
      </c>
      <c r="O29" s="40">
        <v>0.24729999999999999</v>
      </c>
      <c r="P29" s="40">
        <v>0.2366</v>
      </c>
      <c r="Q29" s="8"/>
    </row>
    <row r="30" spans="1:17" ht="15" customHeight="1" x14ac:dyDescent="0.3">
      <c r="A30" s="37">
        <v>1962</v>
      </c>
      <c r="B30" s="38">
        <v>585.70000000000005</v>
      </c>
      <c r="C30" s="38">
        <v>0.1699</v>
      </c>
      <c r="D30" s="38">
        <v>0.13589999999999999</v>
      </c>
      <c r="E30" s="38">
        <v>0.1234</v>
      </c>
      <c r="F30" s="38">
        <v>0.15040000000000001</v>
      </c>
      <c r="G30" s="38">
        <v>0.1678</v>
      </c>
      <c r="H30" s="38">
        <v>0.1678</v>
      </c>
      <c r="I30" s="38">
        <v>0.16769999999999999</v>
      </c>
      <c r="J30" s="39">
        <v>0.1115</v>
      </c>
      <c r="K30" s="40">
        <v>0.1699</v>
      </c>
      <c r="L30" s="40">
        <v>0.1079</v>
      </c>
      <c r="M30" s="40">
        <v>0.1225</v>
      </c>
      <c r="N30" s="40">
        <v>0.24809999999999999</v>
      </c>
      <c r="O30" s="40">
        <v>0.24940000000000001</v>
      </c>
      <c r="P30" s="40">
        <v>0.2387</v>
      </c>
      <c r="Q30" s="8"/>
    </row>
    <row r="31" spans="1:17" ht="15" customHeight="1" x14ac:dyDescent="0.3">
      <c r="A31" s="37">
        <v>1963</v>
      </c>
      <c r="B31" s="38">
        <v>618.20000000000005</v>
      </c>
      <c r="C31" s="38">
        <v>0.1719</v>
      </c>
      <c r="D31" s="38">
        <v>0.14180000000000001</v>
      </c>
      <c r="E31" s="38">
        <v>0.129</v>
      </c>
      <c r="F31" s="38">
        <v>0.156</v>
      </c>
      <c r="G31" s="38">
        <v>0.16980000000000001</v>
      </c>
      <c r="H31" s="38">
        <v>0.16980000000000001</v>
      </c>
      <c r="I31" s="38">
        <v>0.16969999999999999</v>
      </c>
      <c r="J31" s="39">
        <v>0.11550000000000001</v>
      </c>
      <c r="K31" s="40">
        <v>0.1719</v>
      </c>
      <c r="L31" s="40">
        <v>0.1114</v>
      </c>
      <c r="M31" s="40">
        <v>0.1303</v>
      </c>
      <c r="N31" s="40">
        <v>0.25209999999999999</v>
      </c>
      <c r="O31" s="40">
        <v>0.25359999999999999</v>
      </c>
      <c r="P31" s="40">
        <v>0.24099999999999999</v>
      </c>
      <c r="Q31" s="8"/>
    </row>
    <row r="32" spans="1:17" ht="15" customHeight="1" x14ac:dyDescent="0.3">
      <c r="A32" s="37">
        <v>1964</v>
      </c>
      <c r="B32" s="38">
        <v>661.7</v>
      </c>
      <c r="C32" s="38">
        <v>0.1741</v>
      </c>
      <c r="D32" s="38">
        <v>0.14399999999999999</v>
      </c>
      <c r="E32" s="38">
        <v>0.13070000000000001</v>
      </c>
      <c r="F32" s="38">
        <v>0.15790000000000001</v>
      </c>
      <c r="G32" s="38">
        <v>0.17219999999999999</v>
      </c>
      <c r="H32" s="38">
        <v>0.17219999999999999</v>
      </c>
      <c r="I32" s="38">
        <v>0.1721</v>
      </c>
      <c r="J32" s="39">
        <v>0.11749999999999999</v>
      </c>
      <c r="K32" s="40">
        <v>0.1741</v>
      </c>
      <c r="L32" s="40">
        <v>0.115</v>
      </c>
      <c r="M32" s="40">
        <v>0.1366</v>
      </c>
      <c r="N32" s="40">
        <v>0.2525</v>
      </c>
      <c r="O32" s="40">
        <v>0.25380000000000003</v>
      </c>
      <c r="P32" s="40">
        <v>0.24460000000000001</v>
      </c>
      <c r="Q32" s="8"/>
    </row>
    <row r="33" spans="1:17" ht="15" customHeight="1" x14ac:dyDescent="0.3">
      <c r="A33" s="37">
        <v>1965</v>
      </c>
      <c r="B33" s="38">
        <v>709.3</v>
      </c>
      <c r="C33" s="38">
        <v>0.17710000000000001</v>
      </c>
      <c r="D33" s="38">
        <v>0.14599999999999999</v>
      </c>
      <c r="E33" s="38">
        <v>0.1303</v>
      </c>
      <c r="F33" s="38">
        <v>0.1605</v>
      </c>
      <c r="G33" s="38">
        <v>0.17460000000000001</v>
      </c>
      <c r="H33" s="38">
        <v>0.17469999999999999</v>
      </c>
      <c r="I33" s="38">
        <v>0.17449999999999999</v>
      </c>
      <c r="J33" s="39">
        <v>0.1207</v>
      </c>
      <c r="K33" s="40">
        <v>0.17710000000000001</v>
      </c>
      <c r="L33" s="40">
        <v>0.1215</v>
      </c>
      <c r="M33" s="40">
        <v>0.1424</v>
      </c>
      <c r="N33" s="40">
        <v>0.25309999999999999</v>
      </c>
      <c r="O33" s="40">
        <v>0.2545</v>
      </c>
      <c r="P33" s="40">
        <v>0.24679999999999999</v>
      </c>
      <c r="Q33" s="8"/>
    </row>
    <row r="34" spans="1:17" ht="15" customHeight="1" x14ac:dyDescent="0.3">
      <c r="A34" s="37">
        <v>1966</v>
      </c>
      <c r="B34" s="38">
        <v>780.5</v>
      </c>
      <c r="C34" s="38">
        <v>0.18090000000000001</v>
      </c>
      <c r="D34" s="38">
        <v>0.15</v>
      </c>
      <c r="E34" s="38">
        <v>0.13650000000000001</v>
      </c>
      <c r="F34" s="38">
        <v>0.16220000000000001</v>
      </c>
      <c r="G34" s="38">
        <v>0.17780000000000001</v>
      </c>
      <c r="H34" s="38">
        <v>0.17780000000000001</v>
      </c>
      <c r="I34" s="38">
        <v>0.1777</v>
      </c>
      <c r="J34" s="39">
        <v>0.1174</v>
      </c>
      <c r="K34" s="40">
        <v>0.18090000000000001</v>
      </c>
      <c r="L34" s="40">
        <v>0.12559999999999999</v>
      </c>
      <c r="M34" s="40">
        <v>0.1464</v>
      </c>
      <c r="N34" s="40">
        <v>0.25519999999999998</v>
      </c>
      <c r="O34" s="40">
        <v>0.25659999999999999</v>
      </c>
      <c r="P34" s="40">
        <v>0.2482</v>
      </c>
      <c r="Q34" s="8"/>
    </row>
    <row r="35" spans="1:17" ht="15" customHeight="1" x14ac:dyDescent="0.3">
      <c r="A35" s="37">
        <v>1967</v>
      </c>
      <c r="B35" s="38">
        <v>836.5</v>
      </c>
      <c r="C35" s="38">
        <v>0.18640000000000001</v>
      </c>
      <c r="D35" s="38">
        <v>0.15340000000000001</v>
      </c>
      <c r="E35" s="38">
        <v>0.1409</v>
      </c>
      <c r="F35" s="38">
        <v>0.16550000000000001</v>
      </c>
      <c r="G35" s="38">
        <v>0.18260000000000001</v>
      </c>
      <c r="H35" s="38">
        <v>0.18260000000000001</v>
      </c>
      <c r="I35" s="38">
        <v>0.1825</v>
      </c>
      <c r="J35" s="39">
        <v>0.11890000000000001</v>
      </c>
      <c r="K35" s="40">
        <v>0.18640000000000001</v>
      </c>
      <c r="L35" s="40">
        <v>0.1288</v>
      </c>
      <c r="M35" s="40">
        <v>0.14849999999999999</v>
      </c>
      <c r="N35" s="40">
        <v>0.25900000000000001</v>
      </c>
      <c r="O35" s="40">
        <v>0.26</v>
      </c>
      <c r="P35" s="40">
        <v>0.252</v>
      </c>
      <c r="Q35" s="8"/>
    </row>
    <row r="36" spans="1:17" ht="15" customHeight="1" x14ac:dyDescent="0.3">
      <c r="A36" s="37">
        <v>1968</v>
      </c>
      <c r="B36" s="38">
        <v>897.6</v>
      </c>
      <c r="C36" s="38">
        <v>0.19289999999999999</v>
      </c>
      <c r="D36" s="38">
        <v>0.15890000000000001</v>
      </c>
      <c r="E36" s="38">
        <v>0.14760000000000001</v>
      </c>
      <c r="F36" s="38">
        <v>0.1701</v>
      </c>
      <c r="G36" s="38">
        <v>0.18820000000000001</v>
      </c>
      <c r="H36" s="38">
        <v>0.18820000000000001</v>
      </c>
      <c r="I36" s="38">
        <v>0.18809999999999999</v>
      </c>
      <c r="J36" s="39">
        <v>0.1231</v>
      </c>
      <c r="K36" s="40">
        <v>0.19289999999999999</v>
      </c>
      <c r="L36" s="40">
        <v>0.13350000000000001</v>
      </c>
      <c r="M36" s="40">
        <v>0.1517</v>
      </c>
      <c r="N36" s="40">
        <v>0.26469999999999999</v>
      </c>
      <c r="O36" s="40">
        <v>0.26550000000000001</v>
      </c>
      <c r="P36" s="40">
        <v>0.25769999999999998</v>
      </c>
      <c r="Q36" s="8"/>
    </row>
    <row r="37" spans="1:17" ht="15" customHeight="1" x14ac:dyDescent="0.3">
      <c r="A37" s="37">
        <v>1969</v>
      </c>
      <c r="B37" s="38">
        <v>980.3</v>
      </c>
      <c r="C37" s="38">
        <v>0.20169999999999999</v>
      </c>
      <c r="D37" s="38">
        <v>0.16900000000000001</v>
      </c>
      <c r="E37" s="38">
        <v>0.156</v>
      </c>
      <c r="F37" s="38">
        <v>0.18140000000000001</v>
      </c>
      <c r="G37" s="38">
        <v>0.19620000000000001</v>
      </c>
      <c r="H37" s="38">
        <v>0.19620000000000001</v>
      </c>
      <c r="I37" s="38">
        <v>0.1961</v>
      </c>
      <c r="J37" s="39">
        <v>0.1305</v>
      </c>
      <c r="K37" s="40">
        <v>0.20169999999999999</v>
      </c>
      <c r="L37" s="40">
        <v>0.14280000000000001</v>
      </c>
      <c r="M37" s="40">
        <v>0.1633</v>
      </c>
      <c r="N37" s="40">
        <v>0.27479999999999999</v>
      </c>
      <c r="O37" s="40">
        <v>0.27550000000000002</v>
      </c>
      <c r="P37" s="40">
        <v>0.26769999999999999</v>
      </c>
      <c r="Q37" s="8"/>
    </row>
    <row r="38" spans="1:17" ht="15" customHeight="1" x14ac:dyDescent="0.3">
      <c r="A38" s="37">
        <v>1970</v>
      </c>
      <c r="B38" s="41">
        <v>1046.7</v>
      </c>
      <c r="C38" s="38">
        <v>0.21249999999999999</v>
      </c>
      <c r="D38" s="38">
        <v>0.1784</v>
      </c>
      <c r="E38" s="38">
        <v>0.16389999999999999</v>
      </c>
      <c r="F38" s="38">
        <v>0.1905</v>
      </c>
      <c r="G38" s="38">
        <v>0.20549999999999999</v>
      </c>
      <c r="H38" s="38">
        <v>0.20549999999999999</v>
      </c>
      <c r="I38" s="38">
        <v>0.2054</v>
      </c>
      <c r="J38" s="39">
        <v>0.13930000000000001</v>
      </c>
      <c r="K38" s="40">
        <v>0.21249999999999999</v>
      </c>
      <c r="L38" s="40">
        <v>0.15459999999999999</v>
      </c>
      <c r="M38" s="40">
        <v>0.17330000000000001</v>
      </c>
      <c r="N38" s="40">
        <v>0.28899999999999998</v>
      </c>
      <c r="O38" s="40">
        <v>0.28970000000000001</v>
      </c>
      <c r="P38" s="40">
        <v>0.28260000000000002</v>
      </c>
      <c r="Q38" s="8"/>
    </row>
    <row r="39" spans="1:17" ht="15" customHeight="1" x14ac:dyDescent="0.3">
      <c r="A39" s="37">
        <v>1971</v>
      </c>
      <c r="B39" s="41">
        <v>1116.5999999999999</v>
      </c>
      <c r="C39" s="38">
        <v>0.2233</v>
      </c>
      <c r="D39" s="38">
        <v>0.19070000000000001</v>
      </c>
      <c r="E39" s="38">
        <v>0.17419999999999999</v>
      </c>
      <c r="F39" s="38">
        <v>0.20219999999999999</v>
      </c>
      <c r="G39" s="38">
        <v>0.2147</v>
      </c>
      <c r="H39" s="38">
        <v>0.2147</v>
      </c>
      <c r="I39" s="38">
        <v>0.21460000000000001</v>
      </c>
      <c r="J39" s="39">
        <v>0.14910000000000001</v>
      </c>
      <c r="K39" s="40">
        <v>0.2233</v>
      </c>
      <c r="L39" s="40">
        <v>0.17030000000000001</v>
      </c>
      <c r="M39" s="40">
        <v>0.18990000000000001</v>
      </c>
      <c r="N39" s="40">
        <v>0.30690000000000001</v>
      </c>
      <c r="O39" s="40">
        <v>0.30790000000000001</v>
      </c>
      <c r="P39" s="40">
        <v>0.30020000000000002</v>
      </c>
      <c r="Q39" s="8"/>
    </row>
    <row r="40" spans="1:17" ht="15" customHeight="1" x14ac:dyDescent="0.3">
      <c r="A40" s="37">
        <v>1972</v>
      </c>
      <c r="B40" s="41">
        <v>1216.3</v>
      </c>
      <c r="C40" s="38">
        <v>0.2339</v>
      </c>
      <c r="D40" s="38">
        <v>0.20319999999999999</v>
      </c>
      <c r="E40" s="38">
        <v>0.1908</v>
      </c>
      <c r="F40" s="38">
        <v>0.21029999999999999</v>
      </c>
      <c r="G40" s="38">
        <v>0.22289999999999999</v>
      </c>
      <c r="H40" s="38">
        <v>0.22289999999999999</v>
      </c>
      <c r="I40" s="38">
        <v>0.2228</v>
      </c>
      <c r="J40" s="39">
        <v>0.15609999999999999</v>
      </c>
      <c r="K40" s="40">
        <v>0.2339</v>
      </c>
      <c r="L40" s="40">
        <v>0.18329999999999999</v>
      </c>
      <c r="M40" s="40">
        <v>0.2021</v>
      </c>
      <c r="N40" s="40">
        <v>0.33019999999999999</v>
      </c>
      <c r="O40" s="40">
        <v>0.33329999999999999</v>
      </c>
      <c r="P40" s="40">
        <v>0.31469999999999998</v>
      </c>
      <c r="Q40" s="8"/>
    </row>
    <row r="41" spans="1:17" ht="15" customHeight="1" x14ac:dyDescent="0.3">
      <c r="A41" s="37">
        <v>1973</v>
      </c>
      <c r="B41" s="41">
        <v>1352.7</v>
      </c>
      <c r="C41" s="38">
        <v>0.24399999999999999</v>
      </c>
      <c r="D41" s="38">
        <v>0.21240000000000001</v>
      </c>
      <c r="E41" s="38">
        <v>0.20419999999999999</v>
      </c>
      <c r="F41" s="38">
        <v>0.21629999999999999</v>
      </c>
      <c r="G41" s="38">
        <v>0.23119999999999999</v>
      </c>
      <c r="H41" s="38">
        <v>0.23119999999999999</v>
      </c>
      <c r="I41" s="38">
        <v>0.2311</v>
      </c>
      <c r="J41" s="39">
        <v>0.15939999999999999</v>
      </c>
      <c r="K41" s="40">
        <v>0.24399999999999999</v>
      </c>
      <c r="L41" s="40">
        <v>0.19400000000000001</v>
      </c>
      <c r="M41" s="40">
        <v>0.21390000000000001</v>
      </c>
      <c r="N41" s="40">
        <v>0.35149999999999998</v>
      </c>
      <c r="O41" s="40">
        <v>0.3569</v>
      </c>
      <c r="P41" s="40">
        <v>0.32800000000000001</v>
      </c>
      <c r="Q41" s="8"/>
    </row>
    <row r="42" spans="1:17" ht="15" customHeight="1" x14ac:dyDescent="0.3">
      <c r="A42" s="37">
        <v>1974</v>
      </c>
      <c r="B42" s="41">
        <v>1482.9</v>
      </c>
      <c r="C42" s="38">
        <v>0.26140000000000002</v>
      </c>
      <c r="D42" s="38">
        <v>0.23019999999999999</v>
      </c>
      <c r="E42" s="38">
        <v>0.21809999999999999</v>
      </c>
      <c r="F42" s="38">
        <v>0.23569999999999999</v>
      </c>
      <c r="G42" s="38">
        <v>0.24990000000000001</v>
      </c>
      <c r="H42" s="38">
        <v>0.24990000000000001</v>
      </c>
      <c r="I42" s="38">
        <v>0.24979999999999999</v>
      </c>
      <c r="J42" s="39">
        <v>0.1744</v>
      </c>
      <c r="K42" s="40">
        <v>0.26140000000000002</v>
      </c>
      <c r="L42" s="40">
        <v>0.20580000000000001</v>
      </c>
      <c r="M42" s="40">
        <v>0.2261</v>
      </c>
      <c r="N42" s="40">
        <v>0.3725</v>
      </c>
      <c r="O42" s="40">
        <v>0.37709999999999999</v>
      </c>
      <c r="P42" s="40">
        <v>0.3533</v>
      </c>
      <c r="Q42" s="8"/>
    </row>
    <row r="43" spans="1:17" ht="15" customHeight="1" x14ac:dyDescent="0.3">
      <c r="A43" s="37">
        <v>1975</v>
      </c>
      <c r="B43" s="41">
        <v>1606.9</v>
      </c>
      <c r="C43" s="38">
        <v>0.28839999999999999</v>
      </c>
      <c r="D43" s="38">
        <v>0.25259999999999999</v>
      </c>
      <c r="E43" s="38">
        <v>0.23749999999999999</v>
      </c>
      <c r="F43" s="38">
        <v>0.25840000000000002</v>
      </c>
      <c r="G43" s="38">
        <v>0.2757</v>
      </c>
      <c r="H43" s="38">
        <v>0.2757</v>
      </c>
      <c r="I43" s="38">
        <v>0.27560000000000001</v>
      </c>
      <c r="J43" s="39">
        <v>0.19339999999999999</v>
      </c>
      <c r="K43" s="40">
        <v>0.28839999999999999</v>
      </c>
      <c r="L43" s="40">
        <v>0.2213</v>
      </c>
      <c r="M43" s="40">
        <v>0.2412</v>
      </c>
      <c r="N43" s="40">
        <v>0.40489999999999998</v>
      </c>
      <c r="O43" s="40">
        <v>0.4083</v>
      </c>
      <c r="P43" s="40">
        <v>0.39240000000000003</v>
      </c>
      <c r="Q43" s="8"/>
    </row>
    <row r="44" spans="1:17" ht="15" customHeight="1" x14ac:dyDescent="0.3">
      <c r="A44" s="37">
        <v>1976</v>
      </c>
      <c r="B44" s="41">
        <v>1786.1</v>
      </c>
      <c r="C44" s="38">
        <v>0.3085</v>
      </c>
      <c r="D44" s="38">
        <v>0.27060000000000001</v>
      </c>
      <c r="E44" s="38">
        <v>0.2525</v>
      </c>
      <c r="F44" s="38">
        <v>0.27689999999999998</v>
      </c>
      <c r="G44" s="38">
        <v>0.29360000000000003</v>
      </c>
      <c r="H44" s="38">
        <v>0.29360000000000003</v>
      </c>
      <c r="I44" s="38">
        <v>0.29349999999999998</v>
      </c>
      <c r="J44" s="39">
        <v>0.20860000000000001</v>
      </c>
      <c r="K44" s="40">
        <v>0.3085</v>
      </c>
      <c r="L44" s="40">
        <v>0.2397</v>
      </c>
      <c r="M44" s="40">
        <v>0.26250000000000001</v>
      </c>
      <c r="N44" s="40">
        <v>0.43020000000000003</v>
      </c>
      <c r="O44" s="40">
        <v>0.43419999999999997</v>
      </c>
      <c r="P44" s="40">
        <v>0.41620000000000001</v>
      </c>
      <c r="Q44" s="8"/>
    </row>
    <row r="45" spans="1:17" ht="15" customHeight="1" x14ac:dyDescent="0.3">
      <c r="A45" s="37" t="s">
        <v>834</v>
      </c>
      <c r="B45" s="38">
        <v>471.7</v>
      </c>
      <c r="C45" s="38">
        <v>0.31769999999999998</v>
      </c>
      <c r="D45" s="38">
        <v>0.27739999999999998</v>
      </c>
      <c r="E45" s="38">
        <v>0.25740000000000002</v>
      </c>
      <c r="F45" s="38">
        <v>0.28410000000000002</v>
      </c>
      <c r="G45" s="38">
        <v>0.30280000000000001</v>
      </c>
      <c r="H45" s="38">
        <v>0.30280000000000001</v>
      </c>
      <c r="I45" s="38">
        <v>0.30270000000000002</v>
      </c>
      <c r="J45" s="39">
        <v>0.21629999999999999</v>
      </c>
      <c r="K45" s="40">
        <v>0.31769999999999998</v>
      </c>
      <c r="L45" s="40">
        <v>0.24690000000000001</v>
      </c>
      <c r="M45" s="40">
        <v>0.26819999999999999</v>
      </c>
      <c r="N45" s="40">
        <v>0.44419999999999998</v>
      </c>
      <c r="O45" s="40">
        <v>0.44969999999999999</v>
      </c>
      <c r="P45" s="40">
        <v>0.4274</v>
      </c>
      <c r="Q45" s="8"/>
    </row>
    <row r="46" spans="1:17" ht="15" customHeight="1" x14ac:dyDescent="0.3">
      <c r="A46" s="37">
        <v>1977</v>
      </c>
      <c r="B46" s="41">
        <v>2024.3</v>
      </c>
      <c r="C46" s="38">
        <v>0.33079999999999998</v>
      </c>
      <c r="D46" s="38">
        <v>0.29039999999999999</v>
      </c>
      <c r="E46" s="38">
        <v>0.27250000000000002</v>
      </c>
      <c r="F46" s="38">
        <v>0.2964</v>
      </c>
      <c r="G46" s="38">
        <v>0.31569999999999998</v>
      </c>
      <c r="H46" s="38">
        <v>0.31580000000000003</v>
      </c>
      <c r="I46" s="38">
        <v>0.31559999999999999</v>
      </c>
      <c r="J46" s="39">
        <v>0.22370000000000001</v>
      </c>
      <c r="K46" s="40">
        <v>0.33079999999999998</v>
      </c>
      <c r="L46" s="40">
        <v>0.25840000000000002</v>
      </c>
      <c r="M46" s="40">
        <v>0.28199999999999997</v>
      </c>
      <c r="N46" s="40">
        <v>0.4632</v>
      </c>
      <c r="O46" s="40">
        <v>0.46960000000000002</v>
      </c>
      <c r="P46" s="40">
        <v>0.44090000000000001</v>
      </c>
      <c r="Q46" s="8"/>
    </row>
    <row r="47" spans="1:17" ht="15" customHeight="1" x14ac:dyDescent="0.3">
      <c r="A47" s="37">
        <v>1978</v>
      </c>
      <c r="B47" s="41">
        <v>2273.5</v>
      </c>
      <c r="C47" s="38">
        <v>0.35310000000000002</v>
      </c>
      <c r="D47" s="38">
        <v>0.3085</v>
      </c>
      <c r="E47" s="38">
        <v>0.29099999999999998</v>
      </c>
      <c r="F47" s="38">
        <v>0.31409999999999999</v>
      </c>
      <c r="G47" s="38">
        <v>0.33689999999999998</v>
      </c>
      <c r="H47" s="38">
        <v>0.33700000000000002</v>
      </c>
      <c r="I47" s="38">
        <v>0.33679999999999999</v>
      </c>
      <c r="J47" s="39">
        <v>0.2379</v>
      </c>
      <c r="K47" s="40">
        <v>0.35310000000000002</v>
      </c>
      <c r="L47" s="40">
        <v>0.27479999999999999</v>
      </c>
      <c r="M47" s="40">
        <v>0.29770000000000002</v>
      </c>
      <c r="N47" s="40">
        <v>0.49180000000000001</v>
      </c>
      <c r="O47" s="40">
        <v>0.50070000000000003</v>
      </c>
      <c r="P47" s="40">
        <v>0.46339999999999998</v>
      </c>
      <c r="Q47" s="8"/>
    </row>
    <row r="48" spans="1:17" ht="15" customHeight="1" x14ac:dyDescent="0.3">
      <c r="A48" s="37">
        <v>1979</v>
      </c>
      <c r="B48" s="41">
        <v>2565.6</v>
      </c>
      <c r="C48" s="38">
        <v>0.38159999999999999</v>
      </c>
      <c r="D48" s="38">
        <v>0.33539999999999998</v>
      </c>
      <c r="E48" s="38">
        <v>0.31480000000000002</v>
      </c>
      <c r="F48" s="38">
        <v>0.34200000000000003</v>
      </c>
      <c r="G48" s="38">
        <v>0.36480000000000001</v>
      </c>
      <c r="H48" s="38">
        <v>0.3649</v>
      </c>
      <c r="I48" s="38">
        <v>0.36470000000000002</v>
      </c>
      <c r="J48" s="39">
        <v>0.25969999999999999</v>
      </c>
      <c r="K48" s="40">
        <v>0.38159999999999999</v>
      </c>
      <c r="L48" s="40">
        <v>0.29249999999999998</v>
      </c>
      <c r="M48" s="40">
        <v>0.3211</v>
      </c>
      <c r="N48" s="40">
        <v>0.52569999999999995</v>
      </c>
      <c r="O48" s="40">
        <v>0.53500000000000003</v>
      </c>
      <c r="P48" s="40">
        <v>0.49440000000000001</v>
      </c>
      <c r="Q48" s="8"/>
    </row>
    <row r="49" spans="1:17" ht="15" customHeight="1" x14ac:dyDescent="0.3">
      <c r="A49" s="37">
        <v>1980</v>
      </c>
      <c r="B49" s="41">
        <v>2791.9</v>
      </c>
      <c r="C49" s="38">
        <v>0.41489999999999999</v>
      </c>
      <c r="D49" s="38">
        <v>0.37080000000000002</v>
      </c>
      <c r="E49" s="38">
        <v>0.34849999999999998</v>
      </c>
      <c r="F49" s="38">
        <v>0.37790000000000001</v>
      </c>
      <c r="G49" s="38">
        <v>0.40339999999999998</v>
      </c>
      <c r="H49" s="38">
        <v>0.40350000000000003</v>
      </c>
      <c r="I49" s="38">
        <v>0.40329999999999999</v>
      </c>
      <c r="J49" s="39">
        <v>0.28889999999999999</v>
      </c>
      <c r="K49" s="40">
        <v>0.41489999999999999</v>
      </c>
      <c r="L49" s="40">
        <v>0.3175</v>
      </c>
      <c r="M49" s="40">
        <v>0.34460000000000002</v>
      </c>
      <c r="N49" s="40">
        <v>0.56520000000000004</v>
      </c>
      <c r="O49" s="40">
        <v>0.57210000000000005</v>
      </c>
      <c r="P49" s="40">
        <v>0.53920000000000001</v>
      </c>
      <c r="Q49" s="8"/>
    </row>
    <row r="50" spans="1:17" ht="15" customHeight="1" x14ac:dyDescent="0.3">
      <c r="A50" s="37">
        <v>1981</v>
      </c>
      <c r="B50" s="41">
        <v>3133.2</v>
      </c>
      <c r="C50" s="38">
        <v>0.4556</v>
      </c>
      <c r="D50" s="38">
        <v>0.4118</v>
      </c>
      <c r="E50" s="38">
        <v>0.38650000000000001</v>
      </c>
      <c r="F50" s="38">
        <v>0.42009999999999997</v>
      </c>
      <c r="G50" s="38">
        <v>0.44269999999999998</v>
      </c>
      <c r="H50" s="38">
        <v>0.44269999999999998</v>
      </c>
      <c r="I50" s="38">
        <v>0.4425</v>
      </c>
      <c r="J50" s="39">
        <v>0.32300000000000001</v>
      </c>
      <c r="K50" s="40">
        <v>0.4556</v>
      </c>
      <c r="L50" s="40">
        <v>0.3463</v>
      </c>
      <c r="M50" s="40">
        <v>0.3755</v>
      </c>
      <c r="N50" s="40">
        <v>0.61550000000000005</v>
      </c>
      <c r="O50" s="40">
        <v>0.62229999999999996</v>
      </c>
      <c r="P50" s="40">
        <v>0.58709999999999996</v>
      </c>
      <c r="Q50" s="8"/>
    </row>
    <row r="51" spans="1:17" ht="15" customHeight="1" x14ac:dyDescent="0.3">
      <c r="A51" s="37">
        <v>1982</v>
      </c>
      <c r="B51" s="41">
        <v>3313.4</v>
      </c>
      <c r="C51" s="38">
        <v>0.48720000000000002</v>
      </c>
      <c r="D51" s="38">
        <v>0.44340000000000002</v>
      </c>
      <c r="E51" s="38">
        <v>0.42099999999999999</v>
      </c>
      <c r="F51" s="38">
        <v>0.45140000000000002</v>
      </c>
      <c r="G51" s="38">
        <v>0.47010000000000002</v>
      </c>
      <c r="H51" s="38">
        <v>0.47010000000000002</v>
      </c>
      <c r="I51" s="38">
        <v>0.46989999999999998</v>
      </c>
      <c r="J51" s="39">
        <v>0.35210000000000002</v>
      </c>
      <c r="K51" s="40">
        <v>0.48720000000000002</v>
      </c>
      <c r="L51" s="40">
        <v>0.36399999999999999</v>
      </c>
      <c r="M51" s="40">
        <v>0.39439999999999997</v>
      </c>
      <c r="N51" s="40">
        <v>0.66369999999999996</v>
      </c>
      <c r="O51" s="40">
        <v>0.67030000000000001</v>
      </c>
      <c r="P51" s="40">
        <v>0.62919999999999998</v>
      </c>
      <c r="Q51" s="8"/>
    </row>
    <row r="52" spans="1:17" ht="15" customHeight="1" x14ac:dyDescent="0.3">
      <c r="A52" s="37">
        <v>1983</v>
      </c>
      <c r="B52" s="41">
        <v>3536</v>
      </c>
      <c r="C52" s="38">
        <v>0.50849999999999995</v>
      </c>
      <c r="D52" s="38">
        <v>0.4652</v>
      </c>
      <c r="E52" s="38">
        <v>0.44169999999999998</v>
      </c>
      <c r="F52" s="38">
        <v>0.47399999999999998</v>
      </c>
      <c r="G52" s="38">
        <v>0.49159999999999998</v>
      </c>
      <c r="H52" s="38">
        <v>0.49159999999999998</v>
      </c>
      <c r="I52" s="38">
        <v>0.4914</v>
      </c>
      <c r="J52" s="39">
        <v>0.37019999999999997</v>
      </c>
      <c r="K52" s="40">
        <v>0.50849999999999995</v>
      </c>
      <c r="L52" s="40">
        <v>0.376</v>
      </c>
      <c r="M52" s="40">
        <v>0.40560000000000002</v>
      </c>
      <c r="N52" s="40">
        <v>0.70279999999999998</v>
      </c>
      <c r="O52" s="40">
        <v>0.71060000000000001</v>
      </c>
      <c r="P52" s="40">
        <v>0.65100000000000002</v>
      </c>
      <c r="Q52" s="8"/>
    </row>
    <row r="53" spans="1:17" ht="15" customHeight="1" x14ac:dyDescent="0.3">
      <c r="A53" s="37">
        <v>1984</v>
      </c>
      <c r="B53" s="41">
        <v>3949.2</v>
      </c>
      <c r="C53" s="38">
        <v>0.52669999999999995</v>
      </c>
      <c r="D53" s="38">
        <v>0.48749999999999999</v>
      </c>
      <c r="E53" s="38">
        <v>0.46450000000000002</v>
      </c>
      <c r="F53" s="38">
        <v>0.4965</v>
      </c>
      <c r="G53" s="38">
        <v>0.51049999999999995</v>
      </c>
      <c r="H53" s="38">
        <v>0.51049999999999995</v>
      </c>
      <c r="I53" s="38">
        <v>0.51029999999999998</v>
      </c>
      <c r="J53" s="39">
        <v>0.3896</v>
      </c>
      <c r="K53" s="40">
        <v>0.52669999999999995</v>
      </c>
      <c r="L53" s="40">
        <v>0.3861</v>
      </c>
      <c r="M53" s="40">
        <v>0.4284</v>
      </c>
      <c r="N53" s="40">
        <v>0.73140000000000005</v>
      </c>
      <c r="O53" s="40">
        <v>0.74150000000000005</v>
      </c>
      <c r="P53" s="40">
        <v>0.66890000000000005</v>
      </c>
      <c r="Q53" s="8"/>
    </row>
    <row r="54" spans="1:17" ht="15" customHeight="1" x14ac:dyDescent="0.3">
      <c r="A54" s="37">
        <v>1985</v>
      </c>
      <c r="B54" s="41">
        <v>4265.1000000000004</v>
      </c>
      <c r="C54" s="38">
        <v>0.54430000000000001</v>
      </c>
      <c r="D54" s="38">
        <v>0.50539999999999996</v>
      </c>
      <c r="E54" s="38">
        <v>0.48259999999999997</v>
      </c>
      <c r="F54" s="38">
        <v>0.51429999999999998</v>
      </c>
      <c r="G54" s="38">
        <v>0.52839999999999998</v>
      </c>
      <c r="H54" s="38">
        <v>0.52839999999999998</v>
      </c>
      <c r="I54" s="38">
        <v>0.52810000000000001</v>
      </c>
      <c r="J54" s="39">
        <v>0.40600000000000003</v>
      </c>
      <c r="K54" s="40">
        <v>0.54430000000000001</v>
      </c>
      <c r="L54" s="40">
        <v>0.40260000000000001</v>
      </c>
      <c r="M54" s="40">
        <v>0.44669999999999999</v>
      </c>
      <c r="N54" s="40">
        <v>0.73819999999999997</v>
      </c>
      <c r="O54" s="40">
        <v>0.74739999999999995</v>
      </c>
      <c r="P54" s="40">
        <v>0.68379999999999996</v>
      </c>
      <c r="Q54" s="8"/>
    </row>
    <row r="55" spans="1:17" ht="15" customHeight="1" x14ac:dyDescent="0.3">
      <c r="A55" s="37">
        <v>1986</v>
      </c>
      <c r="B55" s="41">
        <v>4526.3</v>
      </c>
      <c r="C55" s="38">
        <v>0.55659999999999998</v>
      </c>
      <c r="D55" s="38">
        <v>0.5161</v>
      </c>
      <c r="E55" s="38">
        <v>0.49349999999999999</v>
      </c>
      <c r="F55" s="38">
        <v>0.5252</v>
      </c>
      <c r="G55" s="38">
        <v>0.54220000000000002</v>
      </c>
      <c r="H55" s="38">
        <v>0.54220000000000002</v>
      </c>
      <c r="I55" s="38">
        <v>0.54190000000000005</v>
      </c>
      <c r="J55" s="39">
        <v>0.42059999999999997</v>
      </c>
      <c r="K55" s="40">
        <v>0.55659999999999998</v>
      </c>
      <c r="L55" s="40">
        <v>0.40749999999999997</v>
      </c>
      <c r="M55" s="40">
        <v>0.44669999999999999</v>
      </c>
      <c r="N55" s="40">
        <v>0.73299999999999998</v>
      </c>
      <c r="O55" s="40">
        <v>0.7389</v>
      </c>
      <c r="P55" s="40">
        <v>0.69210000000000005</v>
      </c>
      <c r="Q55" s="8"/>
    </row>
    <row r="56" spans="1:17" ht="15" customHeight="1" x14ac:dyDescent="0.3">
      <c r="A56" s="37">
        <v>1987</v>
      </c>
      <c r="B56" s="41">
        <v>4767.7</v>
      </c>
      <c r="C56" s="38">
        <v>0.56899999999999995</v>
      </c>
      <c r="D56" s="38">
        <v>0.53080000000000005</v>
      </c>
      <c r="E56" s="38">
        <v>0.50070000000000003</v>
      </c>
      <c r="F56" s="38">
        <v>0.54359999999999997</v>
      </c>
      <c r="G56" s="38">
        <v>0.55600000000000005</v>
      </c>
      <c r="H56" s="38">
        <v>0.55610000000000004</v>
      </c>
      <c r="I56" s="38">
        <v>0.55579999999999996</v>
      </c>
      <c r="J56" s="39">
        <v>0.44209999999999999</v>
      </c>
      <c r="K56" s="40">
        <v>0.56899999999999995</v>
      </c>
      <c r="L56" s="40">
        <v>0.40910000000000002</v>
      </c>
      <c r="M56" s="40">
        <v>0.45619999999999999</v>
      </c>
      <c r="N56" s="40">
        <v>0.7258</v>
      </c>
      <c r="O56" s="40">
        <v>0.72950000000000004</v>
      </c>
      <c r="P56" s="40">
        <v>0.7016</v>
      </c>
      <c r="Q56" s="8"/>
    </row>
    <row r="57" spans="1:17" ht="15" customHeight="1" x14ac:dyDescent="0.3">
      <c r="A57" s="37">
        <v>1988</v>
      </c>
      <c r="B57" s="41">
        <v>5138.6000000000004</v>
      </c>
      <c r="C57" s="38">
        <v>0.58740000000000003</v>
      </c>
      <c r="D57" s="38">
        <v>0.54910000000000003</v>
      </c>
      <c r="E57" s="38">
        <v>0.51329999999999998</v>
      </c>
      <c r="F57" s="38">
        <v>0.56379999999999997</v>
      </c>
      <c r="G57" s="38">
        <v>0.57709999999999995</v>
      </c>
      <c r="H57" s="38">
        <v>0.57720000000000005</v>
      </c>
      <c r="I57" s="38">
        <v>0.57669999999999999</v>
      </c>
      <c r="J57" s="39">
        <v>0.45900000000000002</v>
      </c>
      <c r="K57" s="40">
        <v>0.58740000000000003</v>
      </c>
      <c r="L57" s="40">
        <v>0.42199999999999999</v>
      </c>
      <c r="M57" s="40">
        <v>0.47399999999999998</v>
      </c>
      <c r="N57" s="40">
        <v>0.72719999999999996</v>
      </c>
      <c r="O57" s="40">
        <v>0.72819999999999996</v>
      </c>
      <c r="P57" s="40">
        <v>0.72160000000000002</v>
      </c>
      <c r="Q57" s="8"/>
    </row>
    <row r="58" spans="1:17" ht="15" customHeight="1" x14ac:dyDescent="0.3">
      <c r="A58" s="37">
        <v>1989</v>
      </c>
      <c r="B58" s="41">
        <v>5554.7</v>
      </c>
      <c r="C58" s="38">
        <v>0.61119999999999997</v>
      </c>
      <c r="D58" s="38">
        <v>0.57089999999999996</v>
      </c>
      <c r="E58" s="38">
        <v>0.53310000000000002</v>
      </c>
      <c r="F58" s="38">
        <v>0.58589999999999998</v>
      </c>
      <c r="G58" s="38">
        <v>0.6028</v>
      </c>
      <c r="H58" s="38">
        <v>0.60289999999999999</v>
      </c>
      <c r="I58" s="38">
        <v>0.60189999999999999</v>
      </c>
      <c r="J58" s="39">
        <v>0.47820000000000001</v>
      </c>
      <c r="K58" s="40">
        <v>0.61119999999999997</v>
      </c>
      <c r="L58" s="40">
        <v>0.43280000000000002</v>
      </c>
      <c r="M58" s="40">
        <v>0.48209999999999997</v>
      </c>
      <c r="N58" s="40">
        <v>0.74370000000000003</v>
      </c>
      <c r="O58" s="40">
        <v>0.74339999999999995</v>
      </c>
      <c r="P58" s="40">
        <v>0.74550000000000005</v>
      </c>
      <c r="Q58" s="8"/>
    </row>
    <row r="59" spans="1:17" ht="15" customHeight="1" x14ac:dyDescent="0.3">
      <c r="A59" s="37">
        <v>1990</v>
      </c>
      <c r="B59" s="41">
        <v>5898.8</v>
      </c>
      <c r="C59" s="38">
        <v>0.63360000000000005</v>
      </c>
      <c r="D59" s="38">
        <v>0.58740000000000003</v>
      </c>
      <c r="E59" s="38">
        <v>0.55149999999999999</v>
      </c>
      <c r="F59" s="38">
        <v>0.59970000000000001</v>
      </c>
      <c r="G59" s="38">
        <v>0.62729999999999997</v>
      </c>
      <c r="H59" s="38">
        <v>0.62749999999999995</v>
      </c>
      <c r="I59" s="38">
        <v>0.62609999999999999</v>
      </c>
      <c r="J59" s="39">
        <v>0.50139999999999996</v>
      </c>
      <c r="K59" s="40">
        <v>0.63360000000000005</v>
      </c>
      <c r="L59" s="40">
        <v>0.44450000000000001</v>
      </c>
      <c r="M59" s="40">
        <v>0.48359999999999997</v>
      </c>
      <c r="N59" s="40">
        <v>0.75700000000000001</v>
      </c>
      <c r="O59" s="40">
        <v>0.75570000000000004</v>
      </c>
      <c r="P59" s="40">
        <v>0.76459999999999995</v>
      </c>
      <c r="Q59" s="8"/>
    </row>
    <row r="60" spans="1:17" ht="15" customHeight="1" x14ac:dyDescent="0.3">
      <c r="A60" s="37">
        <v>1991</v>
      </c>
      <c r="B60" s="41">
        <v>6093.2</v>
      </c>
      <c r="C60" s="38">
        <v>0.65620000000000001</v>
      </c>
      <c r="D60" s="38">
        <v>0.61370000000000002</v>
      </c>
      <c r="E60" s="38">
        <v>0.57869999999999999</v>
      </c>
      <c r="F60" s="38">
        <v>0.62350000000000005</v>
      </c>
      <c r="G60" s="38">
        <v>0.65229999999999999</v>
      </c>
      <c r="H60" s="38">
        <v>0.65249999999999997</v>
      </c>
      <c r="I60" s="38">
        <v>0.65080000000000005</v>
      </c>
      <c r="J60" s="39">
        <v>0.52249999999999996</v>
      </c>
      <c r="K60" s="40">
        <v>0.65620000000000001</v>
      </c>
      <c r="L60" s="40">
        <v>0.47120000000000001</v>
      </c>
      <c r="M60" s="40">
        <v>0.50870000000000004</v>
      </c>
      <c r="N60" s="40">
        <v>0.77490000000000003</v>
      </c>
      <c r="O60" s="40">
        <v>0.7732</v>
      </c>
      <c r="P60" s="40">
        <v>0.78420000000000001</v>
      </c>
      <c r="Q60" s="8"/>
    </row>
    <row r="61" spans="1:17" ht="15" customHeight="1" x14ac:dyDescent="0.3">
      <c r="A61" s="37">
        <v>1992</v>
      </c>
      <c r="B61" s="41">
        <v>6416.3</v>
      </c>
      <c r="C61" s="38">
        <v>0.67259999999999998</v>
      </c>
      <c r="D61" s="38">
        <v>0.63849999999999996</v>
      </c>
      <c r="E61" s="38">
        <v>0.58789999999999998</v>
      </c>
      <c r="F61" s="38">
        <v>0.65400000000000003</v>
      </c>
      <c r="G61" s="38">
        <v>0.66930000000000001</v>
      </c>
      <c r="H61" s="38">
        <v>0.66959999999999997</v>
      </c>
      <c r="I61" s="38">
        <v>0.66749999999999998</v>
      </c>
      <c r="J61" s="39">
        <v>0.53779999999999994</v>
      </c>
      <c r="K61" s="40">
        <v>0.67259999999999998</v>
      </c>
      <c r="L61" s="40">
        <v>0.48799999999999999</v>
      </c>
      <c r="M61" s="40">
        <v>0.55349999999999999</v>
      </c>
      <c r="N61" s="40">
        <v>0.78680000000000005</v>
      </c>
      <c r="O61" s="40">
        <v>0.78590000000000004</v>
      </c>
      <c r="P61" s="40">
        <v>0.79069999999999996</v>
      </c>
      <c r="Q61" s="8"/>
    </row>
    <row r="62" spans="1:17" ht="15" customHeight="1" x14ac:dyDescent="0.3">
      <c r="A62" s="37">
        <v>1993</v>
      </c>
      <c r="B62" s="41">
        <v>6775.3</v>
      </c>
      <c r="C62" s="38">
        <v>0.68840000000000001</v>
      </c>
      <c r="D62" s="38">
        <v>0.65739999999999998</v>
      </c>
      <c r="E62" s="38">
        <v>0.59379999999999999</v>
      </c>
      <c r="F62" s="38">
        <v>0.67620000000000002</v>
      </c>
      <c r="G62" s="38">
        <v>0.6865</v>
      </c>
      <c r="H62" s="38">
        <v>0.68700000000000006</v>
      </c>
      <c r="I62" s="38">
        <v>0.68430000000000002</v>
      </c>
      <c r="J62" s="39">
        <v>0.55459999999999998</v>
      </c>
      <c r="K62" s="40">
        <v>0.68840000000000001</v>
      </c>
      <c r="L62" s="40">
        <v>0.51339999999999997</v>
      </c>
      <c r="M62" s="40">
        <v>0.59619999999999995</v>
      </c>
      <c r="N62" s="40">
        <v>0.80569999999999997</v>
      </c>
      <c r="O62" s="40">
        <v>0.80630000000000002</v>
      </c>
      <c r="P62" s="40">
        <v>0.80349999999999999</v>
      </c>
      <c r="Q62" s="8"/>
    </row>
    <row r="63" spans="1:17" ht="15" customHeight="1" x14ac:dyDescent="0.3">
      <c r="A63" s="37">
        <v>1994</v>
      </c>
      <c r="B63" s="41">
        <v>7176.9</v>
      </c>
      <c r="C63" s="38">
        <v>0.70340000000000003</v>
      </c>
      <c r="D63" s="38">
        <v>0.66900000000000004</v>
      </c>
      <c r="E63" s="38">
        <v>0.59940000000000004</v>
      </c>
      <c r="F63" s="38">
        <v>0.68810000000000004</v>
      </c>
      <c r="G63" s="38">
        <v>0.70089999999999997</v>
      </c>
      <c r="H63" s="38">
        <v>0.70150000000000001</v>
      </c>
      <c r="I63" s="38">
        <v>0.69789999999999996</v>
      </c>
      <c r="J63" s="39">
        <v>0.56889999999999996</v>
      </c>
      <c r="K63" s="40">
        <v>0.70340000000000003</v>
      </c>
      <c r="L63" s="40">
        <v>0.53659999999999997</v>
      </c>
      <c r="M63" s="40">
        <v>0.6028</v>
      </c>
      <c r="N63" s="40">
        <v>0.82499999999999996</v>
      </c>
      <c r="O63" s="40">
        <v>0.82699999999999996</v>
      </c>
      <c r="P63" s="40">
        <v>0.81740000000000002</v>
      </c>
      <c r="Q63" s="8"/>
    </row>
    <row r="64" spans="1:17" ht="15" customHeight="1" x14ac:dyDescent="0.3">
      <c r="A64" s="37">
        <v>1995</v>
      </c>
      <c r="B64" s="41">
        <v>7560.4</v>
      </c>
      <c r="C64" s="38">
        <v>0.71830000000000005</v>
      </c>
      <c r="D64" s="38">
        <v>0.68889999999999996</v>
      </c>
      <c r="E64" s="38">
        <v>0.61099999999999999</v>
      </c>
      <c r="F64" s="38">
        <v>0.7087</v>
      </c>
      <c r="G64" s="38">
        <v>0.71609999999999996</v>
      </c>
      <c r="H64" s="38">
        <v>0.7167</v>
      </c>
      <c r="I64" s="38">
        <v>0.71299999999999997</v>
      </c>
      <c r="J64" s="39">
        <v>0.58840000000000003</v>
      </c>
      <c r="K64" s="40">
        <v>0.71830000000000005</v>
      </c>
      <c r="L64" s="40">
        <v>0.55359999999999998</v>
      </c>
      <c r="M64" s="40">
        <v>0.6431</v>
      </c>
      <c r="N64" s="40">
        <v>0.84599999999999997</v>
      </c>
      <c r="O64" s="40">
        <v>0.84789999999999999</v>
      </c>
      <c r="P64" s="40">
        <v>0.84040000000000004</v>
      </c>
      <c r="Q64" s="8"/>
    </row>
    <row r="65" spans="1:17" ht="15" customHeight="1" x14ac:dyDescent="0.3">
      <c r="A65" s="37">
        <v>1996</v>
      </c>
      <c r="B65" s="41">
        <v>7951.3</v>
      </c>
      <c r="C65" s="38">
        <v>0.73180000000000001</v>
      </c>
      <c r="D65" s="38">
        <v>0.70340000000000003</v>
      </c>
      <c r="E65" s="38">
        <v>0.62429999999999997</v>
      </c>
      <c r="F65" s="38">
        <v>0.72209999999999996</v>
      </c>
      <c r="G65" s="38">
        <v>0.73060000000000003</v>
      </c>
      <c r="H65" s="38">
        <v>0.73119999999999996</v>
      </c>
      <c r="I65" s="38">
        <v>0.72740000000000005</v>
      </c>
      <c r="J65" s="39">
        <v>0.60560000000000003</v>
      </c>
      <c r="K65" s="40">
        <v>0.73180000000000001</v>
      </c>
      <c r="L65" s="40">
        <v>0.57989999999999997</v>
      </c>
      <c r="M65" s="40">
        <v>0.66239999999999999</v>
      </c>
      <c r="N65" s="40">
        <v>0.85670000000000002</v>
      </c>
      <c r="O65" s="40">
        <v>0.86029999999999995</v>
      </c>
      <c r="P65" s="40">
        <v>0.84719999999999995</v>
      </c>
      <c r="Q65" s="8"/>
    </row>
    <row r="66" spans="1:17" ht="15" customHeight="1" x14ac:dyDescent="0.3">
      <c r="A66" s="37">
        <v>1997</v>
      </c>
      <c r="B66" s="41">
        <v>8451</v>
      </c>
      <c r="C66" s="38">
        <v>0.74480000000000002</v>
      </c>
      <c r="D66" s="38">
        <v>0.71809999999999996</v>
      </c>
      <c r="E66" s="38">
        <v>0.63390000000000002</v>
      </c>
      <c r="F66" s="38">
        <v>0.73799999999999999</v>
      </c>
      <c r="G66" s="38">
        <v>0.74529999999999996</v>
      </c>
      <c r="H66" s="38">
        <v>0.74590000000000001</v>
      </c>
      <c r="I66" s="38">
        <v>0.74209999999999998</v>
      </c>
      <c r="J66" s="39">
        <v>0.61739999999999995</v>
      </c>
      <c r="K66" s="40">
        <v>0.74480000000000002</v>
      </c>
      <c r="L66" s="40">
        <v>0.59419999999999995</v>
      </c>
      <c r="M66" s="40">
        <v>0.67720000000000002</v>
      </c>
      <c r="N66" s="40">
        <v>0.85499999999999998</v>
      </c>
      <c r="O66" s="40">
        <v>0.85719999999999996</v>
      </c>
      <c r="P66" s="40">
        <v>0.84919999999999995</v>
      </c>
      <c r="Q66" s="8"/>
    </row>
    <row r="67" spans="1:17" ht="15" customHeight="1" x14ac:dyDescent="0.3">
      <c r="A67" s="37">
        <v>1998</v>
      </c>
      <c r="B67" s="41">
        <v>8930.7999999999993</v>
      </c>
      <c r="C67" s="38">
        <v>0.75409999999999999</v>
      </c>
      <c r="D67" s="38">
        <v>0.72409999999999997</v>
      </c>
      <c r="E67" s="38">
        <v>0.64600000000000002</v>
      </c>
      <c r="F67" s="38">
        <v>0.74150000000000005</v>
      </c>
      <c r="G67" s="38">
        <v>0.75229999999999997</v>
      </c>
      <c r="H67" s="38">
        <v>0.75280000000000002</v>
      </c>
      <c r="I67" s="38">
        <v>0.75</v>
      </c>
      <c r="J67" s="39">
        <v>0.62509999999999999</v>
      </c>
      <c r="K67" s="40">
        <v>0.75409999999999999</v>
      </c>
      <c r="L67" s="40">
        <v>0.60650000000000004</v>
      </c>
      <c r="M67" s="40">
        <v>0.66310000000000002</v>
      </c>
      <c r="N67" s="40">
        <v>0.85570000000000002</v>
      </c>
      <c r="O67" s="40">
        <v>0.85719999999999996</v>
      </c>
      <c r="P67" s="40">
        <v>0.85050000000000003</v>
      </c>
      <c r="Q67" s="8"/>
    </row>
    <row r="68" spans="1:17" ht="15" customHeight="1" x14ac:dyDescent="0.3">
      <c r="A68" s="37">
        <v>1999</v>
      </c>
      <c r="B68" s="41">
        <v>9479.6</v>
      </c>
      <c r="C68" s="38">
        <v>0.76349999999999996</v>
      </c>
      <c r="D68" s="38">
        <v>0.73280000000000001</v>
      </c>
      <c r="E68" s="38">
        <v>0.65880000000000005</v>
      </c>
      <c r="F68" s="38">
        <v>0.749</v>
      </c>
      <c r="G68" s="38">
        <v>0.76100000000000001</v>
      </c>
      <c r="H68" s="38">
        <v>0.76139999999999997</v>
      </c>
      <c r="I68" s="38">
        <v>0.75900000000000001</v>
      </c>
      <c r="J68" s="39">
        <v>0.64019999999999999</v>
      </c>
      <c r="K68" s="40">
        <v>0.76349999999999996</v>
      </c>
      <c r="L68" s="40">
        <v>0.62509999999999999</v>
      </c>
      <c r="M68" s="40">
        <v>0.68210000000000004</v>
      </c>
      <c r="N68" s="40">
        <v>0.86429999999999996</v>
      </c>
      <c r="O68" s="40">
        <v>0.86750000000000005</v>
      </c>
      <c r="P68" s="40">
        <v>0.85619999999999996</v>
      </c>
      <c r="Q68" s="8"/>
    </row>
    <row r="69" spans="1:17" ht="15" customHeight="1" x14ac:dyDescent="0.3">
      <c r="A69" s="37">
        <v>2000</v>
      </c>
      <c r="B69" s="41">
        <v>10117.1</v>
      </c>
      <c r="C69" s="38">
        <v>0.77939999999999998</v>
      </c>
      <c r="D69" s="38">
        <v>0.75160000000000005</v>
      </c>
      <c r="E69" s="38">
        <v>0.68200000000000005</v>
      </c>
      <c r="F69" s="38">
        <v>0.76700000000000002</v>
      </c>
      <c r="G69" s="38">
        <v>0.7792</v>
      </c>
      <c r="H69" s="38">
        <v>0.77969999999999995</v>
      </c>
      <c r="I69" s="38">
        <v>0.77690000000000003</v>
      </c>
      <c r="J69" s="39">
        <v>0.66439999999999999</v>
      </c>
      <c r="K69" s="40">
        <v>0.77939999999999998</v>
      </c>
      <c r="L69" s="40">
        <v>0.65749999999999997</v>
      </c>
      <c r="M69" s="40">
        <v>0.70820000000000005</v>
      </c>
      <c r="N69" s="40">
        <v>0.87649999999999995</v>
      </c>
      <c r="O69" s="40">
        <v>0.87819999999999998</v>
      </c>
      <c r="P69" s="40">
        <v>0.87280000000000002</v>
      </c>
      <c r="Q69" s="8"/>
    </row>
    <row r="70" spans="1:17" ht="15" customHeight="1" x14ac:dyDescent="0.3">
      <c r="A70" s="37">
        <v>2001</v>
      </c>
      <c r="B70" s="41">
        <v>10525.7</v>
      </c>
      <c r="C70" s="38">
        <v>0.79830000000000001</v>
      </c>
      <c r="D70" s="38">
        <v>0.77159999999999995</v>
      </c>
      <c r="E70" s="38">
        <v>0.70540000000000003</v>
      </c>
      <c r="F70" s="38">
        <v>0.78610000000000002</v>
      </c>
      <c r="G70" s="38">
        <v>0.79720000000000002</v>
      </c>
      <c r="H70" s="38">
        <v>0.79759999999999998</v>
      </c>
      <c r="I70" s="38">
        <v>0.79510000000000003</v>
      </c>
      <c r="J70" s="39">
        <v>0.68579999999999997</v>
      </c>
      <c r="K70" s="40">
        <v>0.79830000000000001</v>
      </c>
      <c r="L70" s="40">
        <v>0.67210000000000003</v>
      </c>
      <c r="M70" s="40">
        <v>0.73070000000000002</v>
      </c>
      <c r="N70" s="40">
        <v>0.88070000000000004</v>
      </c>
      <c r="O70" s="40">
        <v>0.88</v>
      </c>
      <c r="P70" s="40">
        <v>0.8821</v>
      </c>
      <c r="Q70" s="8"/>
    </row>
    <row r="71" spans="1:17" ht="15" customHeight="1" x14ac:dyDescent="0.3">
      <c r="A71" s="37">
        <v>2002</v>
      </c>
      <c r="B71" s="41">
        <v>10828.9</v>
      </c>
      <c r="C71" s="38">
        <v>0.81089999999999995</v>
      </c>
      <c r="D71" s="38">
        <v>0.78359999999999996</v>
      </c>
      <c r="E71" s="38">
        <v>0.72840000000000005</v>
      </c>
      <c r="F71" s="38">
        <v>0.79630000000000001</v>
      </c>
      <c r="G71" s="38">
        <v>0.80640000000000001</v>
      </c>
      <c r="H71" s="38">
        <v>0.80689999999999995</v>
      </c>
      <c r="I71" s="38">
        <v>0.80449999999999999</v>
      </c>
      <c r="J71" s="39">
        <v>0.69950000000000001</v>
      </c>
      <c r="K71" s="40">
        <v>0.81089999999999995</v>
      </c>
      <c r="L71" s="40">
        <v>0.71009999999999995</v>
      </c>
      <c r="M71" s="40">
        <v>0.75670000000000004</v>
      </c>
      <c r="N71" s="40">
        <v>0.87619999999999998</v>
      </c>
      <c r="O71" s="40">
        <v>0.87390000000000001</v>
      </c>
      <c r="P71" s="40">
        <v>0.88139999999999996</v>
      </c>
      <c r="Q71" s="8"/>
    </row>
    <row r="72" spans="1:17" ht="15" customHeight="1" x14ac:dyDescent="0.3">
      <c r="A72" s="37">
        <v>2003</v>
      </c>
      <c r="B72" s="41">
        <v>11278.8</v>
      </c>
      <c r="C72" s="38">
        <v>0.82640000000000002</v>
      </c>
      <c r="D72" s="38">
        <v>0.80640000000000001</v>
      </c>
      <c r="E72" s="38">
        <v>0.77549999999999997</v>
      </c>
      <c r="F72" s="38">
        <v>0.81389999999999996</v>
      </c>
      <c r="G72" s="38">
        <v>0.82310000000000005</v>
      </c>
      <c r="H72" s="38">
        <v>0.8236</v>
      </c>
      <c r="I72" s="38">
        <v>0.82120000000000004</v>
      </c>
      <c r="J72" s="39">
        <v>0.71960000000000002</v>
      </c>
      <c r="K72" s="40">
        <v>0.82640000000000002</v>
      </c>
      <c r="L72" s="40">
        <v>0.74860000000000004</v>
      </c>
      <c r="M72" s="40">
        <v>0.7893</v>
      </c>
      <c r="N72" s="40">
        <v>0.8831</v>
      </c>
      <c r="O72" s="40">
        <v>0.88219999999999998</v>
      </c>
      <c r="P72" s="40">
        <v>0.88539999999999996</v>
      </c>
      <c r="Q72" s="8"/>
    </row>
    <row r="73" spans="1:17" ht="15" customHeight="1" x14ac:dyDescent="0.3">
      <c r="A73" s="37">
        <v>2004</v>
      </c>
      <c r="B73" s="41">
        <v>12028.4</v>
      </c>
      <c r="C73" s="38">
        <v>0.84660000000000002</v>
      </c>
      <c r="D73" s="38">
        <v>0.82779999999999998</v>
      </c>
      <c r="E73" s="38">
        <v>0.80479999999999996</v>
      </c>
      <c r="F73" s="38">
        <v>0.8337</v>
      </c>
      <c r="G73" s="38">
        <v>0.84199999999999997</v>
      </c>
      <c r="H73" s="38">
        <v>0.84240000000000004</v>
      </c>
      <c r="I73" s="38">
        <v>0.84040000000000004</v>
      </c>
      <c r="J73" s="39">
        <v>0.74639999999999995</v>
      </c>
      <c r="K73" s="40">
        <v>0.84660000000000002</v>
      </c>
      <c r="L73" s="40">
        <v>0.78459999999999996</v>
      </c>
      <c r="M73" s="40">
        <v>0.81530000000000002</v>
      </c>
      <c r="N73" s="40">
        <v>0.89500000000000002</v>
      </c>
      <c r="O73" s="40">
        <v>0.89429999999999998</v>
      </c>
      <c r="P73" s="40">
        <v>0.89710000000000001</v>
      </c>
      <c r="Q73" s="8"/>
    </row>
    <row r="74" spans="1:17" ht="15" customHeight="1" x14ac:dyDescent="0.3">
      <c r="A74" s="37">
        <v>2005</v>
      </c>
      <c r="B74" s="41">
        <v>12840</v>
      </c>
      <c r="C74" s="38">
        <v>0.87229999999999996</v>
      </c>
      <c r="D74" s="38">
        <v>0.85619999999999996</v>
      </c>
      <c r="E74" s="38">
        <v>0.84319999999999995</v>
      </c>
      <c r="F74" s="38">
        <v>0.85960000000000003</v>
      </c>
      <c r="G74" s="38">
        <v>0.86570000000000003</v>
      </c>
      <c r="H74" s="38">
        <v>0.8659</v>
      </c>
      <c r="I74" s="38">
        <v>0.86450000000000005</v>
      </c>
      <c r="J74" s="39">
        <v>0.79</v>
      </c>
      <c r="K74" s="40">
        <v>0.87229999999999996</v>
      </c>
      <c r="L74" s="40">
        <v>0.82130000000000003</v>
      </c>
      <c r="M74" s="40">
        <v>0.84450000000000003</v>
      </c>
      <c r="N74" s="40">
        <v>0.91169999999999995</v>
      </c>
      <c r="O74" s="40">
        <v>0.91080000000000005</v>
      </c>
      <c r="P74" s="40">
        <v>0.91469999999999996</v>
      </c>
      <c r="Q74" s="8"/>
    </row>
    <row r="75" spans="1:17" ht="15" customHeight="1" x14ac:dyDescent="0.3">
      <c r="A75" s="37">
        <v>2006</v>
      </c>
      <c r="B75" s="41">
        <v>13636.8</v>
      </c>
      <c r="C75" s="38">
        <v>0.90069999999999995</v>
      </c>
      <c r="D75" s="38">
        <v>0.88629999999999998</v>
      </c>
      <c r="E75" s="38">
        <v>0.87939999999999996</v>
      </c>
      <c r="F75" s="38">
        <v>0.8881</v>
      </c>
      <c r="G75" s="38">
        <v>0.89259999999999995</v>
      </c>
      <c r="H75" s="38">
        <v>0.89280000000000004</v>
      </c>
      <c r="I75" s="38">
        <v>0.89170000000000005</v>
      </c>
      <c r="J75" s="39">
        <v>0.83069999999999999</v>
      </c>
      <c r="K75" s="40">
        <v>0.90069999999999995</v>
      </c>
      <c r="L75" s="40">
        <v>0.85150000000000003</v>
      </c>
      <c r="M75" s="40">
        <v>0.87209999999999999</v>
      </c>
      <c r="N75" s="40">
        <v>0.92659999999999998</v>
      </c>
      <c r="O75" s="40">
        <v>0.9264</v>
      </c>
      <c r="P75" s="40">
        <v>0.9274</v>
      </c>
      <c r="Q75" s="8"/>
    </row>
    <row r="76" spans="1:17" ht="15" customHeight="1" x14ac:dyDescent="0.3">
      <c r="A76" s="37">
        <v>2007</v>
      </c>
      <c r="B76" s="41">
        <v>14305.4</v>
      </c>
      <c r="C76" s="38">
        <v>0.9254</v>
      </c>
      <c r="D76" s="38">
        <v>0.91100000000000003</v>
      </c>
      <c r="E76" s="38">
        <v>0.9083</v>
      </c>
      <c r="F76" s="38">
        <v>0.91169999999999995</v>
      </c>
      <c r="G76" s="38">
        <v>0.91249999999999998</v>
      </c>
      <c r="H76" s="38">
        <v>0.91249999999999998</v>
      </c>
      <c r="I76" s="38">
        <v>0.91210000000000002</v>
      </c>
      <c r="J76" s="39">
        <v>0.87570000000000003</v>
      </c>
      <c r="K76" s="40">
        <v>0.9254</v>
      </c>
      <c r="L76" s="40">
        <v>0.88229999999999997</v>
      </c>
      <c r="M76" s="40">
        <v>0.90429999999999999</v>
      </c>
      <c r="N76" s="40">
        <v>0.93959999999999999</v>
      </c>
      <c r="O76" s="40">
        <v>0.94010000000000005</v>
      </c>
      <c r="P76" s="40">
        <v>0.93810000000000004</v>
      </c>
      <c r="Q76" s="8"/>
    </row>
    <row r="77" spans="1:17" ht="15" customHeight="1" x14ac:dyDescent="0.3">
      <c r="A77" s="37">
        <v>2008</v>
      </c>
      <c r="B77" s="41">
        <v>14796.6</v>
      </c>
      <c r="C77" s="38">
        <v>0.94469999999999998</v>
      </c>
      <c r="D77" s="38">
        <v>0.94269999999999998</v>
      </c>
      <c r="E77" s="38">
        <v>0.94330000000000003</v>
      </c>
      <c r="F77" s="38">
        <v>0.9425</v>
      </c>
      <c r="G77" s="38">
        <v>0.94450000000000001</v>
      </c>
      <c r="H77" s="38">
        <v>0.94450000000000001</v>
      </c>
      <c r="I77" s="38">
        <v>0.94420000000000004</v>
      </c>
      <c r="J77" s="39">
        <v>0.91890000000000005</v>
      </c>
      <c r="K77" s="40">
        <v>0.94469999999999998</v>
      </c>
      <c r="L77" s="40">
        <v>0.91080000000000005</v>
      </c>
      <c r="M77" s="40">
        <v>0.92659999999999998</v>
      </c>
      <c r="N77" s="40">
        <v>0.95689999999999997</v>
      </c>
      <c r="O77" s="40">
        <v>0.95709999999999995</v>
      </c>
      <c r="P77" s="40">
        <v>0.95599999999999996</v>
      </c>
      <c r="Q77" s="8"/>
    </row>
    <row r="78" spans="1:17" ht="15" customHeight="1" x14ac:dyDescent="0.3">
      <c r="A78" s="37">
        <v>2009</v>
      </c>
      <c r="B78" s="41">
        <v>14467.3</v>
      </c>
      <c r="C78" s="38">
        <v>0.95430000000000004</v>
      </c>
      <c r="D78" s="38">
        <v>0.94130000000000003</v>
      </c>
      <c r="E78" s="38">
        <v>0.94120000000000004</v>
      </c>
      <c r="F78" s="38">
        <v>0.94130000000000003</v>
      </c>
      <c r="G78" s="38">
        <v>0.94199999999999995</v>
      </c>
      <c r="H78" s="38">
        <v>0.94199999999999995</v>
      </c>
      <c r="I78" s="38">
        <v>0.94210000000000005</v>
      </c>
      <c r="J78" s="39">
        <v>0.93230000000000002</v>
      </c>
      <c r="K78" s="40">
        <v>0.95430000000000004</v>
      </c>
      <c r="L78" s="40">
        <v>0.92779999999999996</v>
      </c>
      <c r="M78" s="40">
        <v>0.93379999999999996</v>
      </c>
      <c r="N78" s="40">
        <v>0.96430000000000005</v>
      </c>
      <c r="O78" s="40">
        <v>0.96550000000000002</v>
      </c>
      <c r="P78" s="40">
        <v>0.96079999999999999</v>
      </c>
      <c r="Q78" s="8"/>
    </row>
    <row r="79" spans="1:17" ht="15" customHeight="1" x14ac:dyDescent="0.3">
      <c r="A79" s="37">
        <v>2010</v>
      </c>
      <c r="B79" s="41">
        <v>14884.4</v>
      </c>
      <c r="C79" s="38">
        <v>0.96260000000000001</v>
      </c>
      <c r="D79" s="38">
        <v>0.95820000000000005</v>
      </c>
      <c r="E79" s="38">
        <v>0.95840000000000003</v>
      </c>
      <c r="F79" s="38">
        <v>0.95820000000000005</v>
      </c>
      <c r="G79" s="38">
        <v>0.95840000000000003</v>
      </c>
      <c r="H79" s="38">
        <v>0.95840000000000003</v>
      </c>
      <c r="I79" s="38">
        <v>0.95820000000000005</v>
      </c>
      <c r="J79" s="39">
        <v>0.94730000000000003</v>
      </c>
      <c r="K79" s="40">
        <v>0.96260000000000001</v>
      </c>
      <c r="L79" s="40">
        <v>0.95509999999999995</v>
      </c>
      <c r="M79" s="40">
        <v>0.96350000000000002</v>
      </c>
      <c r="N79" s="40">
        <v>0.9698</v>
      </c>
      <c r="O79" s="40">
        <v>0.96970000000000001</v>
      </c>
      <c r="P79" s="40">
        <v>0.97030000000000005</v>
      </c>
      <c r="Q79" s="8"/>
    </row>
    <row r="80" spans="1:17" ht="15" customHeight="1" x14ac:dyDescent="0.3">
      <c r="A80" s="37">
        <v>2011</v>
      </c>
      <c r="B80" s="41">
        <v>15466.5</v>
      </c>
      <c r="C80" s="38">
        <v>0.98199999999999998</v>
      </c>
      <c r="D80" s="38">
        <v>0.98089999999999999</v>
      </c>
      <c r="E80" s="38">
        <v>0.98650000000000004</v>
      </c>
      <c r="F80" s="38">
        <v>0.97960000000000003</v>
      </c>
      <c r="G80" s="38">
        <v>0.97960000000000003</v>
      </c>
      <c r="H80" s="38">
        <v>0.97960000000000003</v>
      </c>
      <c r="I80" s="38">
        <v>0.97940000000000005</v>
      </c>
      <c r="J80" s="39">
        <v>0.97409999999999997</v>
      </c>
      <c r="K80" s="40">
        <v>0.98199999999999998</v>
      </c>
      <c r="L80" s="40">
        <v>0.98860000000000003</v>
      </c>
      <c r="M80" s="40">
        <v>0.98709999999999998</v>
      </c>
      <c r="N80" s="40">
        <v>0.98950000000000005</v>
      </c>
      <c r="O80" s="40">
        <v>0.98870000000000002</v>
      </c>
      <c r="P80" s="40">
        <v>0.99170000000000003</v>
      </c>
      <c r="Q80" s="8"/>
    </row>
    <row r="81" spans="1:17" ht="15" customHeight="1" x14ac:dyDescent="0.3">
      <c r="A81" s="37">
        <v>2012</v>
      </c>
      <c r="B81" s="41">
        <v>16109.4</v>
      </c>
      <c r="C81" s="38">
        <v>1</v>
      </c>
      <c r="D81" s="38">
        <v>1</v>
      </c>
      <c r="E81" s="38">
        <v>1</v>
      </c>
      <c r="F81" s="38">
        <v>1</v>
      </c>
      <c r="G81" s="38">
        <v>1</v>
      </c>
      <c r="H81" s="38">
        <v>1</v>
      </c>
      <c r="I81" s="38">
        <v>1</v>
      </c>
      <c r="J81" s="39">
        <v>1</v>
      </c>
      <c r="K81" s="40">
        <v>1</v>
      </c>
      <c r="L81" s="40">
        <v>1</v>
      </c>
      <c r="M81" s="40">
        <v>1</v>
      </c>
      <c r="N81" s="40">
        <v>1</v>
      </c>
      <c r="O81" s="40">
        <v>1</v>
      </c>
      <c r="P81" s="40">
        <v>1</v>
      </c>
      <c r="Q81" s="8"/>
    </row>
    <row r="82" spans="1:17" ht="15" customHeight="1" x14ac:dyDescent="0.3">
      <c r="A82" s="37">
        <v>2013</v>
      </c>
      <c r="B82" s="41">
        <v>16665.099999999999</v>
      </c>
      <c r="C82" s="38">
        <v>1.0183</v>
      </c>
      <c r="D82" s="38">
        <v>1.0142</v>
      </c>
      <c r="E82" s="38">
        <v>1.0069999999999999</v>
      </c>
      <c r="F82" s="38">
        <v>1.0159</v>
      </c>
      <c r="G82" s="38">
        <v>1.0147999999999999</v>
      </c>
      <c r="H82" s="38">
        <v>1.0147999999999999</v>
      </c>
      <c r="I82" s="38">
        <v>1.0147999999999999</v>
      </c>
      <c r="J82" s="39">
        <v>1.0266</v>
      </c>
      <c r="K82" s="40">
        <v>1.0183</v>
      </c>
      <c r="L82" s="40">
        <v>1.0081</v>
      </c>
      <c r="M82" s="40">
        <v>1.0125</v>
      </c>
      <c r="N82" s="40">
        <v>1.004</v>
      </c>
      <c r="O82" s="40">
        <v>1.0031000000000001</v>
      </c>
      <c r="P82" s="40">
        <v>1.0065</v>
      </c>
      <c r="Q82" s="8"/>
    </row>
    <row r="83" spans="1:17" ht="15" customHeight="1" x14ac:dyDescent="0.3">
      <c r="A83" s="37">
        <v>2014</v>
      </c>
      <c r="B83" s="41">
        <v>17370.8</v>
      </c>
      <c r="C83" s="38">
        <v>1.038</v>
      </c>
      <c r="D83" s="38">
        <v>1.0304</v>
      </c>
      <c r="E83" s="38">
        <v>1.0234000000000001</v>
      </c>
      <c r="F83" s="38">
        <v>1.0318000000000001</v>
      </c>
      <c r="G83" s="38">
        <v>1.0304</v>
      </c>
      <c r="H83" s="38">
        <v>1.0304</v>
      </c>
      <c r="I83" s="38">
        <v>1.0305</v>
      </c>
      <c r="J83" s="39">
        <v>1.0511999999999999</v>
      </c>
      <c r="K83" s="40">
        <v>1.038</v>
      </c>
      <c r="L83" s="40">
        <v>1.0428999999999999</v>
      </c>
      <c r="M83" s="40">
        <v>1.0329999999999999</v>
      </c>
      <c r="N83" s="40">
        <v>1.018</v>
      </c>
      <c r="O83" s="40">
        <v>1.0162</v>
      </c>
      <c r="P83" s="40">
        <v>1.0235000000000001</v>
      </c>
      <c r="Q83" s="8"/>
    </row>
    <row r="84" spans="1:17" ht="15" customHeight="1" x14ac:dyDescent="0.3">
      <c r="A84" s="37">
        <v>2015</v>
      </c>
      <c r="B84" s="41">
        <v>18086.099999999999</v>
      </c>
      <c r="C84" s="38">
        <v>1.0499000000000001</v>
      </c>
      <c r="D84" s="38">
        <v>1.0359</v>
      </c>
      <c r="E84" s="38">
        <v>1.0277000000000001</v>
      </c>
      <c r="F84" s="38">
        <v>1.0374000000000001</v>
      </c>
      <c r="G84" s="38">
        <v>1.0350999999999999</v>
      </c>
      <c r="H84" s="38">
        <v>1.0350999999999999</v>
      </c>
      <c r="I84" s="38">
        <v>1.0353000000000001</v>
      </c>
      <c r="J84" s="39">
        <v>1.0605</v>
      </c>
      <c r="K84" s="40">
        <v>1.0499000000000001</v>
      </c>
      <c r="L84" s="40">
        <v>1.056</v>
      </c>
      <c r="M84" s="40">
        <v>1.0483</v>
      </c>
      <c r="N84" s="40">
        <v>1.0208999999999999</v>
      </c>
      <c r="O84" s="40">
        <v>1.0186999999999999</v>
      </c>
      <c r="P84" s="40">
        <v>1.0269999999999999</v>
      </c>
      <c r="Q84" s="8"/>
    </row>
    <row r="85" spans="1:17" ht="15" customHeight="1" x14ac:dyDescent="0.3">
      <c r="A85" s="37">
        <v>2016</v>
      </c>
      <c r="B85" s="41">
        <v>18536.099999999999</v>
      </c>
      <c r="C85" s="38">
        <v>1.0586</v>
      </c>
      <c r="D85" s="38">
        <v>1.0424</v>
      </c>
      <c r="E85" s="38">
        <v>1.0314000000000001</v>
      </c>
      <c r="F85" s="38">
        <v>1.0444</v>
      </c>
      <c r="G85" s="38">
        <v>1.0421</v>
      </c>
      <c r="H85" s="38">
        <v>1.0421</v>
      </c>
      <c r="I85" s="38">
        <v>1.0422</v>
      </c>
      <c r="J85" s="39">
        <v>1.0644</v>
      </c>
      <c r="K85" s="40">
        <v>1.0586</v>
      </c>
      <c r="L85" s="40">
        <v>1.0694999999999999</v>
      </c>
      <c r="M85" s="40">
        <v>1.0570999999999999</v>
      </c>
      <c r="N85" s="40">
        <v>1.0185</v>
      </c>
      <c r="O85" s="40">
        <v>1.0164</v>
      </c>
      <c r="P85" s="40">
        <v>1.0246</v>
      </c>
      <c r="Q85" s="8"/>
    </row>
    <row r="86" spans="1:17" ht="15" customHeight="1" x14ac:dyDescent="0.3">
      <c r="A86" s="37">
        <v>2017</v>
      </c>
      <c r="B86" s="41">
        <v>19245.7</v>
      </c>
      <c r="C86" s="38">
        <v>1.0774999999999999</v>
      </c>
      <c r="D86" s="38">
        <v>1.06</v>
      </c>
      <c r="E86" s="38">
        <v>1.0454000000000001</v>
      </c>
      <c r="F86" s="38">
        <v>1.0627</v>
      </c>
      <c r="G86" s="38">
        <v>1.0603</v>
      </c>
      <c r="H86" s="38">
        <v>1.0603</v>
      </c>
      <c r="I86" s="38">
        <v>1.0604</v>
      </c>
      <c r="J86" s="39">
        <v>1.0844</v>
      </c>
      <c r="K86" s="40">
        <v>1.0774999999999999</v>
      </c>
      <c r="L86" s="40">
        <v>1.0962000000000001</v>
      </c>
      <c r="M86" s="40">
        <v>1.0773999999999999</v>
      </c>
      <c r="N86" s="40">
        <v>1.0256000000000001</v>
      </c>
      <c r="O86" s="40">
        <v>1.0224</v>
      </c>
      <c r="P86" s="40">
        <v>1.0370999999999999</v>
      </c>
      <c r="Q86" s="8"/>
    </row>
    <row r="87" spans="1:17" ht="15" customHeight="1" x14ac:dyDescent="0.3">
      <c r="A87" s="37">
        <v>2018</v>
      </c>
      <c r="B87" s="41">
        <v>20302</v>
      </c>
      <c r="C87" s="38">
        <v>1.1028</v>
      </c>
      <c r="D87" s="38">
        <v>1.0842000000000001</v>
      </c>
      <c r="E87" s="38">
        <v>1.0727</v>
      </c>
      <c r="F87" s="38">
        <v>1.0863</v>
      </c>
      <c r="G87" s="38">
        <v>1.0825</v>
      </c>
      <c r="H87" s="38">
        <v>1.0824</v>
      </c>
      <c r="I87" s="38">
        <v>1.0827</v>
      </c>
      <c r="J87" s="39">
        <v>1.1211</v>
      </c>
      <c r="K87" s="40">
        <v>1.1028</v>
      </c>
      <c r="L87" s="40">
        <v>1.1348</v>
      </c>
      <c r="M87" s="40">
        <v>1.1113999999999999</v>
      </c>
      <c r="N87" s="40">
        <v>1.0386</v>
      </c>
      <c r="O87" s="40">
        <v>1.0342</v>
      </c>
      <c r="P87" s="40">
        <v>1.0577000000000001</v>
      </c>
      <c r="Q87" s="8"/>
    </row>
    <row r="88" spans="1:17" ht="15" customHeight="1" x14ac:dyDescent="0.3">
      <c r="A88" s="37">
        <v>2019</v>
      </c>
      <c r="B88" s="41">
        <v>21159.200000000001</v>
      </c>
      <c r="C88" s="38">
        <v>1.1244000000000001</v>
      </c>
      <c r="D88" s="38">
        <v>1.1034999999999999</v>
      </c>
      <c r="E88" s="38">
        <v>1.0948</v>
      </c>
      <c r="F88" s="38">
        <v>1.1051</v>
      </c>
      <c r="G88" s="38">
        <v>1.1002000000000001</v>
      </c>
      <c r="H88" s="38">
        <v>1.1002000000000001</v>
      </c>
      <c r="I88" s="38">
        <v>1.1005</v>
      </c>
      <c r="J88" s="39">
        <v>1.151</v>
      </c>
      <c r="K88" s="40">
        <v>1.1244000000000001</v>
      </c>
      <c r="L88" s="40">
        <v>1.1742999999999999</v>
      </c>
      <c r="M88" s="40">
        <v>1.1417999999999999</v>
      </c>
      <c r="N88" s="40">
        <v>1.052</v>
      </c>
      <c r="O88" s="40">
        <v>1.0465</v>
      </c>
      <c r="P88" s="40">
        <v>1.0774999999999999</v>
      </c>
      <c r="Q88" s="8"/>
    </row>
    <row r="89" spans="1:17" ht="15" customHeight="1" x14ac:dyDescent="0.3">
      <c r="A89" s="37">
        <v>2020</v>
      </c>
      <c r="B89" s="41">
        <v>21060.9</v>
      </c>
      <c r="C89" s="38">
        <v>1.1394</v>
      </c>
      <c r="D89" s="38">
        <v>1.1244000000000001</v>
      </c>
      <c r="E89" s="38">
        <v>1.1063000000000001</v>
      </c>
      <c r="F89" s="38">
        <v>1.1267</v>
      </c>
      <c r="G89" s="38">
        <v>1.1131</v>
      </c>
      <c r="H89" s="38">
        <v>1.1131</v>
      </c>
      <c r="I89" s="38">
        <v>1.1133999999999999</v>
      </c>
      <c r="J89" s="39">
        <v>1.1729000000000001</v>
      </c>
      <c r="K89" s="40">
        <v>1.1394</v>
      </c>
      <c r="L89" s="40">
        <v>1.1773</v>
      </c>
      <c r="M89" s="40">
        <v>1.1709000000000001</v>
      </c>
      <c r="N89" s="40">
        <v>1.0630999999999999</v>
      </c>
      <c r="O89" s="40">
        <v>1.0558000000000001</v>
      </c>
      <c r="P89" s="40">
        <v>1.0883</v>
      </c>
      <c r="Q89" s="8"/>
    </row>
    <row r="90" spans="1:17" ht="15" customHeight="1" x14ac:dyDescent="0.3">
      <c r="A90" s="37">
        <v>2021</v>
      </c>
      <c r="B90" s="41">
        <v>22654</v>
      </c>
      <c r="C90" s="38">
        <v>1.1777</v>
      </c>
      <c r="D90" s="38">
        <v>1.1561999999999999</v>
      </c>
      <c r="E90" s="38">
        <v>1.1382000000000001</v>
      </c>
      <c r="F90" s="38">
        <v>1.1585000000000001</v>
      </c>
      <c r="G90" s="38">
        <v>1.1453</v>
      </c>
      <c r="H90" s="38">
        <v>1.1452</v>
      </c>
      <c r="I90" s="38">
        <v>1.1456999999999999</v>
      </c>
      <c r="J90" s="39">
        <v>1.2271000000000001</v>
      </c>
      <c r="K90" s="40">
        <v>1.1777</v>
      </c>
      <c r="L90" s="40">
        <v>1.2075</v>
      </c>
      <c r="M90" s="40">
        <v>1.1978</v>
      </c>
      <c r="N90" s="40">
        <v>1.0819000000000001</v>
      </c>
      <c r="O90" s="40">
        <v>1.0749</v>
      </c>
      <c r="P90" s="40">
        <v>1.1108</v>
      </c>
      <c r="Q90" s="8"/>
    </row>
    <row r="91" spans="1:17" ht="13.95" customHeight="1" x14ac:dyDescent="0.3">
      <c r="A91" s="37">
        <v>2022</v>
      </c>
      <c r="B91" s="41">
        <v>25000.400000000001</v>
      </c>
      <c r="C91" s="38">
        <v>1.2593000000000001</v>
      </c>
      <c r="D91" s="38">
        <v>1.2241</v>
      </c>
      <c r="E91" s="38">
        <v>1.1980999999999999</v>
      </c>
      <c r="F91" s="38">
        <v>1.2278</v>
      </c>
      <c r="G91" s="38">
        <v>1.2171000000000001</v>
      </c>
      <c r="H91" s="38">
        <v>1.2170000000000001</v>
      </c>
      <c r="I91" s="38">
        <v>1.2178</v>
      </c>
      <c r="J91" s="39">
        <v>1.3212999999999999</v>
      </c>
      <c r="K91" s="40">
        <v>1.2593000000000001</v>
      </c>
      <c r="L91" s="40">
        <v>1.2626999999999999</v>
      </c>
      <c r="M91" s="40">
        <v>1.25</v>
      </c>
      <c r="N91" s="40">
        <v>1.1335</v>
      </c>
      <c r="O91" s="40">
        <v>1.1262000000000001</v>
      </c>
      <c r="P91" s="40">
        <v>1.1637</v>
      </c>
      <c r="Q91" s="8"/>
    </row>
    <row r="92" spans="1:17" x14ac:dyDescent="0.3">
      <c r="A92" s="37" t="s">
        <v>835</v>
      </c>
      <c r="B92" s="41">
        <v>26335.7</v>
      </c>
      <c r="C92" s="38">
        <v>1.3203</v>
      </c>
      <c r="D92" s="38">
        <v>1.2906</v>
      </c>
      <c r="E92" s="38">
        <v>1.2565</v>
      </c>
      <c r="F92" s="38">
        <v>1.2957000000000001</v>
      </c>
      <c r="G92" s="38">
        <v>1.2843</v>
      </c>
      <c r="H92" s="38">
        <v>1.2841</v>
      </c>
      <c r="I92" s="38">
        <v>1.2853000000000001</v>
      </c>
      <c r="J92" s="39">
        <v>1.4048</v>
      </c>
      <c r="K92" s="40">
        <v>1.3203</v>
      </c>
      <c r="L92" s="40">
        <v>1.3238000000000001</v>
      </c>
      <c r="M92" s="40">
        <v>1.3097000000000001</v>
      </c>
      <c r="N92" s="40">
        <v>1.1909000000000001</v>
      </c>
      <c r="O92" s="40">
        <v>1.1808000000000001</v>
      </c>
      <c r="P92" s="40">
        <v>1.2201</v>
      </c>
      <c r="Q92" s="8"/>
    </row>
    <row r="93" spans="1:17" x14ac:dyDescent="0.3">
      <c r="A93" s="37" t="s">
        <v>836</v>
      </c>
      <c r="B93" s="41">
        <v>27237.5</v>
      </c>
      <c r="C93" s="38">
        <v>1.3514999999999999</v>
      </c>
      <c r="D93" s="38">
        <v>1.3233999999999999</v>
      </c>
      <c r="E93" s="38">
        <v>1.2859</v>
      </c>
      <c r="F93" s="38">
        <v>1.3292999999999999</v>
      </c>
      <c r="G93" s="38">
        <v>1.3171999999999999</v>
      </c>
      <c r="H93" s="38">
        <v>1.3169</v>
      </c>
      <c r="I93" s="38">
        <v>1.3186</v>
      </c>
      <c r="J93" s="39">
        <v>1.4538</v>
      </c>
      <c r="K93" s="40">
        <v>1.3514999999999999</v>
      </c>
      <c r="L93" s="40">
        <v>1.3551</v>
      </c>
      <c r="M93" s="40">
        <v>1.3403</v>
      </c>
      <c r="N93" s="40">
        <v>1.2183999999999999</v>
      </c>
      <c r="O93" s="40">
        <v>1.2087000000000001</v>
      </c>
      <c r="P93" s="40">
        <v>1.2488999999999999</v>
      </c>
      <c r="Q93" s="8"/>
    </row>
    <row r="94" spans="1:17" x14ac:dyDescent="0.3">
      <c r="A94" s="37" t="s">
        <v>837</v>
      </c>
      <c r="B94" s="41">
        <v>28432</v>
      </c>
      <c r="C94" s="38">
        <v>1.3802000000000001</v>
      </c>
      <c r="D94" s="38">
        <v>1.3531</v>
      </c>
      <c r="E94" s="38">
        <v>1.3131999999999999</v>
      </c>
      <c r="F94" s="38">
        <v>1.3593</v>
      </c>
      <c r="G94" s="38">
        <v>1.3478000000000001</v>
      </c>
      <c r="H94" s="38">
        <v>1.3474999999999999</v>
      </c>
      <c r="I94" s="38">
        <v>1.3492999999999999</v>
      </c>
      <c r="J94" s="39">
        <v>1.504</v>
      </c>
      <c r="K94" s="40">
        <v>1.3802000000000001</v>
      </c>
      <c r="L94" s="40">
        <v>1.3838999999999999</v>
      </c>
      <c r="M94" s="40">
        <v>1.3687</v>
      </c>
      <c r="N94" s="40">
        <v>1.2435</v>
      </c>
      <c r="O94" s="40">
        <v>1.2343</v>
      </c>
      <c r="P94" s="40">
        <v>1.2754000000000001</v>
      </c>
      <c r="Q94" s="8"/>
    </row>
    <row r="95" spans="1:17" x14ac:dyDescent="0.3">
      <c r="A95" s="37" t="s">
        <v>838</v>
      </c>
      <c r="B95" s="41">
        <v>29679</v>
      </c>
      <c r="C95" s="38">
        <v>1.409</v>
      </c>
      <c r="D95" s="38">
        <v>1.3837999999999999</v>
      </c>
      <c r="E95" s="38">
        <v>1.3406</v>
      </c>
      <c r="F95" s="38">
        <v>1.3904000000000001</v>
      </c>
      <c r="G95" s="38">
        <v>1.3787</v>
      </c>
      <c r="H95" s="38">
        <v>1.3784000000000001</v>
      </c>
      <c r="I95" s="38">
        <v>1.3802000000000001</v>
      </c>
      <c r="J95" s="39">
        <v>1.5526</v>
      </c>
      <c r="K95" s="40">
        <v>1.409</v>
      </c>
      <c r="L95" s="40">
        <v>1.4128000000000001</v>
      </c>
      <c r="M95" s="40">
        <v>1.3973</v>
      </c>
      <c r="N95" s="40">
        <v>1.2694000000000001</v>
      </c>
      <c r="O95" s="40">
        <v>1.2601</v>
      </c>
      <c r="P95" s="40">
        <v>1.3021</v>
      </c>
      <c r="Q95" s="8"/>
    </row>
    <row r="96" spans="1:17" x14ac:dyDescent="0.3">
      <c r="A96" s="37" t="s">
        <v>839</v>
      </c>
      <c r="B96" s="41">
        <v>30908.799999999999</v>
      </c>
      <c r="C96" s="38">
        <v>1.4387000000000001</v>
      </c>
      <c r="D96" s="38">
        <v>1.4151</v>
      </c>
      <c r="E96" s="38">
        <v>1.3688</v>
      </c>
      <c r="F96" s="38">
        <v>1.4219999999999999</v>
      </c>
      <c r="G96" s="38">
        <v>1.4104000000000001</v>
      </c>
      <c r="H96" s="38">
        <v>1.4100999999999999</v>
      </c>
      <c r="I96" s="38">
        <v>1.4118999999999999</v>
      </c>
      <c r="J96" s="39">
        <v>1.6017999999999999</v>
      </c>
      <c r="K96" s="40">
        <v>1.4387000000000001</v>
      </c>
      <c r="L96" s="40">
        <v>1.4424999999999999</v>
      </c>
      <c r="M96" s="40">
        <v>1.4267000000000001</v>
      </c>
      <c r="N96" s="40">
        <v>1.2959000000000001</v>
      </c>
      <c r="O96" s="40">
        <v>1.2866</v>
      </c>
      <c r="P96" s="40">
        <v>1.3294999999999999</v>
      </c>
      <c r="Q96" s="8"/>
    </row>
    <row r="97" spans="1:17" x14ac:dyDescent="0.3">
      <c r="A97" s="76" t="s">
        <v>840</v>
      </c>
      <c r="B97" s="79">
        <v>32188.2</v>
      </c>
      <c r="C97" s="77">
        <v>1.4688000000000001</v>
      </c>
      <c r="D97" s="77">
        <v>1.4464999999999999</v>
      </c>
      <c r="E97" s="77">
        <v>1.3975</v>
      </c>
      <c r="F97" s="77">
        <v>1.4535</v>
      </c>
      <c r="G97" s="77">
        <v>1.4428000000000001</v>
      </c>
      <c r="H97" s="77">
        <v>1.4424999999999999</v>
      </c>
      <c r="I97" s="77">
        <v>1.4442999999999999</v>
      </c>
      <c r="J97" s="76">
        <v>1.6516999999999999</v>
      </c>
      <c r="K97" s="78">
        <v>1.4688000000000001</v>
      </c>
      <c r="L97" s="78">
        <v>1.4726999999999999</v>
      </c>
      <c r="M97" s="78">
        <v>1.4565999999999999</v>
      </c>
      <c r="N97" s="78">
        <v>1.3227</v>
      </c>
      <c r="O97" s="78">
        <v>1.3136000000000001</v>
      </c>
      <c r="P97" s="78">
        <v>1.3573</v>
      </c>
      <c r="Q97" s="8"/>
    </row>
    <row r="98" spans="1:17" x14ac:dyDescent="0.3">
      <c r="A98" s="514" t="s">
        <v>841</v>
      </c>
      <c r="B98" s="514"/>
      <c r="C98" s="514"/>
      <c r="D98" s="514"/>
      <c r="E98" s="514"/>
      <c r="F98" s="514"/>
      <c r="G98" s="514"/>
      <c r="H98" s="514"/>
      <c r="I98" s="514"/>
      <c r="J98" s="514"/>
      <c r="K98" s="514"/>
      <c r="L98" s="514"/>
      <c r="M98" s="514"/>
      <c r="N98" s="514"/>
      <c r="O98" s="514"/>
      <c r="P98" s="514"/>
      <c r="Q98" s="8"/>
    </row>
    <row r="99" spans="1:17" x14ac:dyDescent="0.3">
      <c r="A99" s="8" t="s">
        <v>842</v>
      </c>
      <c r="B99" s="8"/>
      <c r="C99" s="8"/>
      <c r="D99" s="8"/>
      <c r="E99" s="8"/>
      <c r="F99" s="8"/>
      <c r="G99" s="8"/>
      <c r="H99" s="8"/>
      <c r="I99" s="8"/>
      <c r="J99" s="8"/>
      <c r="K99" s="8"/>
      <c r="L99" s="8"/>
      <c r="M99" s="8"/>
      <c r="N99" s="8"/>
      <c r="O99" s="8"/>
      <c r="P99" s="8"/>
      <c r="Q99" s="8"/>
    </row>
  </sheetData>
  <mergeCells count="11">
    <mergeCell ref="M4:M7"/>
    <mergeCell ref="N4:P6"/>
    <mergeCell ref="Q4:Q6"/>
    <mergeCell ref="A98:P98"/>
    <mergeCell ref="A1:P1"/>
    <mergeCell ref="A2:P2"/>
    <mergeCell ref="A3:A7"/>
    <mergeCell ref="D3:P3"/>
    <mergeCell ref="D4:D7"/>
    <mergeCell ref="G4:I6"/>
    <mergeCell ref="K4:K7"/>
  </mergeCells>
  <printOptions gridLines="1"/>
  <pageMargins left="0.7" right="0.7" top="0.75" bottom="0.75" header="0.3" footer="0.3"/>
  <pageSetup orientation="landscape" useFirstPageNumber="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35"/>
  <sheetViews>
    <sheetView topLeftCell="A7" workbookViewId="0">
      <selection activeCell="B49" sqref="B49"/>
    </sheetView>
  </sheetViews>
  <sheetFormatPr defaultColWidth="8.6640625" defaultRowHeight="14.4" x14ac:dyDescent="0.3"/>
  <cols>
    <col min="1" max="1" width="14.33203125" style="89" customWidth="1"/>
    <col min="2" max="2" width="24.33203125" style="8" customWidth="1"/>
    <col min="3" max="3" width="14.6640625" style="8" bestFit="1" customWidth="1"/>
    <col min="4" max="4" width="14.33203125" style="8" customWidth="1"/>
    <col min="5" max="16384" width="8.6640625" style="8"/>
  </cols>
  <sheetData>
    <row r="1" spans="1:5" x14ac:dyDescent="0.3">
      <c r="A1" s="88" t="s">
        <v>127</v>
      </c>
    </row>
    <row r="2" spans="1:5" x14ac:dyDescent="0.3">
      <c r="C2" s="90"/>
      <c r="D2" s="91"/>
    </row>
    <row r="3" spans="1:5" x14ac:dyDescent="0.3">
      <c r="B3" s="8" t="s">
        <v>128</v>
      </c>
      <c r="C3" s="8">
        <f>Inputs!B6</f>
        <v>2023</v>
      </c>
      <c r="D3" s="92" t="s">
        <v>129</v>
      </c>
    </row>
    <row r="4" spans="1:5" x14ac:dyDescent="0.3">
      <c r="B4" s="8" t="s">
        <v>130</v>
      </c>
      <c r="C4" s="8">
        <f>Inputs!B7</f>
        <v>2028</v>
      </c>
      <c r="D4" s="92" t="s">
        <v>129</v>
      </c>
    </row>
    <row r="5" spans="1:5" x14ac:dyDescent="0.3">
      <c r="C5" s="90"/>
      <c r="D5" s="92"/>
    </row>
    <row r="6" spans="1:5" x14ac:dyDescent="0.3">
      <c r="C6" s="90"/>
      <c r="D6" s="92"/>
    </row>
    <row r="7" spans="1:5" x14ac:dyDescent="0.3">
      <c r="A7" s="93" t="s">
        <v>131</v>
      </c>
      <c r="B7" s="92">
        <f>Inputs!B10</f>
        <v>2021</v>
      </c>
    </row>
    <row r="8" spans="1:5" x14ac:dyDescent="0.3">
      <c r="A8" s="93" t="str">
        <f>Inputs!$A$3</f>
        <v xml:space="preserve">Discount Rate </v>
      </c>
      <c r="B8" s="94">
        <f>Inputs!$B$3</f>
        <v>7.0000000000000007E-2</v>
      </c>
      <c r="D8" s="95"/>
    </row>
    <row r="10" spans="1:5" ht="28.8" x14ac:dyDescent="0.3">
      <c r="A10" s="96" t="s">
        <v>132</v>
      </c>
      <c r="B10" s="97" t="s">
        <v>133</v>
      </c>
      <c r="C10" s="98" t="s">
        <v>5</v>
      </c>
      <c r="D10" s="98" t="s">
        <v>134</v>
      </c>
      <c r="E10" s="99"/>
    </row>
    <row r="11" spans="1:5" x14ac:dyDescent="0.3">
      <c r="A11" s="21">
        <f>IF((B11&gt;(Inputs!$B$7+Inputs!$B$8-0)),0,IF((B11&lt;Inputs!$B$7),0,((B11-Inputs!$B$7)+0)))</f>
        <v>0</v>
      </c>
      <c r="B11" s="19">
        <v>2020</v>
      </c>
      <c r="C11" s="100">
        <f>_xlfn.XLOOKUP(B11,'Cost&amp;Schedule'!$A$20:$A$28,'Cost&amp;Schedule'!$I$20:$I$28)</f>
        <v>14276031.812107097</v>
      </c>
      <c r="D11" s="100">
        <f>ROUND(C11/((1+B$8)^($B11-$B$7)),0)</f>
        <v>15275354</v>
      </c>
      <c r="E11" s="99"/>
    </row>
    <row r="12" spans="1:5" x14ac:dyDescent="0.3">
      <c r="A12" s="21">
        <f>IF((B12&gt;(Inputs!$B$7+Inputs!$B$8-0)),0,IF((B12&lt;Inputs!$B$7),0,((B12-Inputs!$B$7)+0)))</f>
        <v>0</v>
      </c>
      <c r="B12" s="19">
        <v>2021</v>
      </c>
      <c r="C12" s="100">
        <f>_xlfn.XLOOKUP(B12,'Cost&amp;Schedule'!$A$20:$A$28,'Cost&amp;Schedule'!$I$20:$I$28)</f>
        <v>14276031.812107097</v>
      </c>
      <c r="D12" s="100">
        <f t="shared" ref="D12" si="0">ROUND(C12/((1+B$8)^($B12-$B$7)),0)</f>
        <v>14276032</v>
      </c>
      <c r="E12" s="99"/>
    </row>
    <row r="13" spans="1:5" x14ac:dyDescent="0.3">
      <c r="A13" s="21">
        <f>IF((B13&gt;(Inputs!$B$7+Inputs!$B$8-0)),0,IF((B13&lt;Inputs!$B$7),0,((B13-Inputs!$B$7)+0)))</f>
        <v>0</v>
      </c>
      <c r="B13" s="19">
        <v>2022</v>
      </c>
      <c r="C13" s="100">
        <f>_xlfn.XLOOKUP(B13,'Cost&amp;Schedule'!$A$20:$A$28,'Cost&amp;Schedule'!$I$20:$I$28)</f>
        <v>19193705.48852098</v>
      </c>
      <c r="D13" s="100">
        <f>ROUND(C13/((1+B$8)^($B13-$B$7)),0)</f>
        <v>17938043</v>
      </c>
      <c r="E13" s="99"/>
    </row>
    <row r="14" spans="1:5" x14ac:dyDescent="0.3">
      <c r="A14" s="21">
        <f>IF((B14&gt;(Inputs!$B$7+Inputs!$B$8-0)),0,IF((B14&lt;Inputs!$B$7),0,((B14-Inputs!$B$7)+0)))</f>
        <v>0</v>
      </c>
      <c r="B14" s="19">
        <f>C3</f>
        <v>2023</v>
      </c>
      <c r="C14" s="100">
        <f>_xlfn.XLOOKUP(B14,'Cost&amp;Schedule'!$A$20:$A$28,'Cost&amp;Schedule'!$I$20:$I$28)</f>
        <v>58535751.509435639</v>
      </c>
      <c r="D14" s="101">
        <f t="shared" ref="D14:D34" si="1">ROUND(C14/((1+B$8)^($B14-$B$7)),0)</f>
        <v>51127392</v>
      </c>
      <c r="E14" s="102"/>
    </row>
    <row r="15" spans="1:5" x14ac:dyDescent="0.3">
      <c r="A15" s="21">
        <f>IF((B15&gt;(Inputs!$B$7+Inputs!$B$8-0)),0,IF((B15&lt;Inputs!$B$7),0,((B15-Inputs!$B$7)+0)))</f>
        <v>0</v>
      </c>
      <c r="B15" s="19">
        <f>B14+1</f>
        <v>2024</v>
      </c>
      <c r="C15" s="100">
        <f>_xlfn.XLOOKUP(B15,'Cost&amp;Schedule'!$A$20:$A$28,'Cost&amp;Schedule'!$I$20:$I$28)</f>
        <v>48781160.201656811</v>
      </c>
      <c r="D15" s="101">
        <f t="shared" si="1"/>
        <v>39819958</v>
      </c>
      <c r="E15" s="102"/>
    </row>
    <row r="16" spans="1:5" x14ac:dyDescent="0.3">
      <c r="A16" s="21">
        <f>IF((B16&gt;(Inputs!$B$7+Inputs!$B$8-0)),0,IF((B16&lt;Inputs!$B$7),0,((B16-Inputs!$B$7)+0)))</f>
        <v>0</v>
      </c>
      <c r="B16" s="19">
        <f t="shared" ref="B16:B34" si="2">B15+1</f>
        <v>2025</v>
      </c>
      <c r="C16" s="100">
        <f>_xlfn.XLOOKUP(B16,'Cost&amp;Schedule'!$A$20:$A$28,'Cost&amp;Schedule'!$I$20:$I$28)</f>
        <v>53194960.920707569</v>
      </c>
      <c r="D16" s="101">
        <f>ROUND(C16/((1+B$8)^($B16-$B$7)),0)</f>
        <v>40582181</v>
      </c>
      <c r="E16" s="102"/>
    </row>
    <row r="17" spans="1:5" x14ac:dyDescent="0.3">
      <c r="A17" s="21">
        <f>IF((B17&gt;(Inputs!$B$7+Inputs!$B$8-0)),0,IF((B17&lt;Inputs!$B$7),0,((B17-Inputs!$B$7)+0)))</f>
        <v>0</v>
      </c>
      <c r="B17" s="19">
        <f t="shared" si="2"/>
        <v>2026</v>
      </c>
      <c r="C17" s="100">
        <f>_xlfn.XLOOKUP(B17,'Cost&amp;Schedule'!$A$20:$A$28,'Cost&amp;Schedule'!$I$20:$I$28)</f>
        <v>53194960.920707569</v>
      </c>
      <c r="D17" s="101">
        <f t="shared" si="1"/>
        <v>37927272</v>
      </c>
      <c r="E17" s="102"/>
    </row>
    <row r="18" spans="1:5" x14ac:dyDescent="0.3">
      <c r="A18" s="21">
        <f>IF((B18&gt;(Inputs!$B$7+Inputs!$B$8-0)),0,IF((B18&lt;Inputs!$B$7),0,((B18-Inputs!$B$7)+0)))</f>
        <v>0</v>
      </c>
      <c r="B18" s="19">
        <f t="shared" si="2"/>
        <v>2027</v>
      </c>
      <c r="C18" s="100">
        <f>_xlfn.XLOOKUP(B18,'Cost&amp;Schedule'!$A$20:$A$28,'Cost&amp;Schedule'!$I$20:$I$28)</f>
        <v>37843477.258512296</v>
      </c>
      <c r="D18" s="101">
        <f t="shared" si="1"/>
        <v>25216707</v>
      </c>
      <c r="E18" s="102"/>
    </row>
    <row r="19" spans="1:5" x14ac:dyDescent="0.3">
      <c r="A19" s="21">
        <f>IF((B19&gt;(Inputs!$B$7+Inputs!$B$8-0)),0,IF((B19&lt;Inputs!$B$7),0,((B19-Inputs!$B$7)+0)))</f>
        <v>0</v>
      </c>
      <c r="B19" s="19">
        <f t="shared" si="2"/>
        <v>2028</v>
      </c>
      <c r="C19" s="100">
        <f>_xlfn.XLOOKUP(B19,'Cost&amp;Schedule'!$A$20:$A$28,'Cost&amp;Schedule'!$I$20:$I$28)</f>
        <v>4413800.7190507688</v>
      </c>
      <c r="D19" s="101">
        <f t="shared" si="1"/>
        <v>2748693</v>
      </c>
      <c r="E19" s="102"/>
    </row>
    <row r="20" spans="1:5" x14ac:dyDescent="0.3">
      <c r="A20" s="21">
        <f>IF((B20&gt;(Inputs!$B$7+Inputs!$B$8-0)),0,IF((B20&lt;Inputs!$B$7),0,((B20-Inputs!$B$7)+0)))</f>
        <v>1</v>
      </c>
      <c r="B20" s="19">
        <f t="shared" si="2"/>
        <v>2029</v>
      </c>
      <c r="C20" s="100"/>
      <c r="D20" s="101">
        <f t="shared" si="1"/>
        <v>0</v>
      </c>
      <c r="E20" s="102"/>
    </row>
    <row r="21" spans="1:5" x14ac:dyDescent="0.3">
      <c r="A21" s="21">
        <f>IF((B21&gt;(Inputs!$B$7+Inputs!$B$8-0)),0,IF((B21&lt;Inputs!$B$7),0,((B21-Inputs!$B$7)+0)))</f>
        <v>2</v>
      </c>
      <c r="B21" s="19">
        <f t="shared" si="2"/>
        <v>2030</v>
      </c>
      <c r="C21" s="100"/>
      <c r="D21" s="101">
        <f t="shared" si="1"/>
        <v>0</v>
      </c>
      <c r="E21" s="102"/>
    </row>
    <row r="22" spans="1:5" x14ac:dyDescent="0.3">
      <c r="A22" s="21">
        <f>IF((B22&gt;(Inputs!$B$7+Inputs!$B$8-0)),0,IF((B22&lt;Inputs!$B$7),0,((B22-Inputs!$B$7)+0)))</f>
        <v>3</v>
      </c>
      <c r="B22" s="19">
        <f t="shared" si="2"/>
        <v>2031</v>
      </c>
      <c r="C22" s="100"/>
      <c r="D22" s="101">
        <f t="shared" si="1"/>
        <v>0</v>
      </c>
      <c r="E22" s="102"/>
    </row>
    <row r="23" spans="1:5" x14ac:dyDescent="0.3">
      <c r="A23" s="21">
        <f>IF((B23&gt;(Inputs!$B$7+Inputs!$B$8-0)),0,IF((B23&lt;Inputs!$B$7),0,((B23-Inputs!$B$7)+0)))</f>
        <v>4</v>
      </c>
      <c r="B23" s="19">
        <f t="shared" si="2"/>
        <v>2032</v>
      </c>
      <c r="C23" s="100"/>
      <c r="D23" s="101">
        <f t="shared" si="1"/>
        <v>0</v>
      </c>
      <c r="E23" s="102"/>
    </row>
    <row r="24" spans="1:5" x14ac:dyDescent="0.3">
      <c r="A24" s="21">
        <f>IF((B24&gt;(Inputs!$B$7+Inputs!$B$8-0)),0,IF((B24&lt;Inputs!$B$7),0,((B24-Inputs!$B$7)+0)))</f>
        <v>5</v>
      </c>
      <c r="B24" s="19">
        <f t="shared" si="2"/>
        <v>2033</v>
      </c>
      <c r="C24" s="100"/>
      <c r="D24" s="101">
        <f t="shared" si="1"/>
        <v>0</v>
      </c>
      <c r="E24" s="102"/>
    </row>
    <row r="25" spans="1:5" x14ac:dyDescent="0.3">
      <c r="A25" s="21">
        <f>IF((B25&gt;(Inputs!$B$7+Inputs!$B$8-0)),0,IF((B25&lt;Inputs!$B$7),0,((B25-Inputs!$B$7)+0)))</f>
        <v>6</v>
      </c>
      <c r="B25" s="19">
        <f t="shared" si="2"/>
        <v>2034</v>
      </c>
      <c r="C25" s="100"/>
      <c r="D25" s="101">
        <f t="shared" si="1"/>
        <v>0</v>
      </c>
      <c r="E25" s="102"/>
    </row>
    <row r="26" spans="1:5" x14ac:dyDescent="0.3">
      <c r="A26" s="21">
        <f>IF((B26&gt;(Inputs!$B$7+Inputs!$B$8-0)),0,IF((B26&lt;Inputs!$B$7),0,((B26-Inputs!$B$7)+0)))</f>
        <v>7</v>
      </c>
      <c r="B26" s="19">
        <f t="shared" si="2"/>
        <v>2035</v>
      </c>
      <c r="C26" s="100"/>
      <c r="D26" s="101">
        <f t="shared" si="1"/>
        <v>0</v>
      </c>
      <c r="E26" s="102"/>
    </row>
    <row r="27" spans="1:5" x14ac:dyDescent="0.3">
      <c r="A27" s="21">
        <f>IF((B27&gt;(Inputs!$B$7+Inputs!$B$8-0)),0,IF((B27&lt;Inputs!$B$7),0,((B27-Inputs!$B$7)+0)))</f>
        <v>8</v>
      </c>
      <c r="B27" s="19">
        <f t="shared" si="2"/>
        <v>2036</v>
      </c>
      <c r="C27" s="100"/>
      <c r="D27" s="101">
        <f t="shared" si="1"/>
        <v>0</v>
      </c>
      <c r="E27" s="102"/>
    </row>
    <row r="28" spans="1:5" x14ac:dyDescent="0.3">
      <c r="A28" s="21">
        <f>IF((B28&gt;(Inputs!$B$7+Inputs!$B$8-0)),0,IF((B28&lt;Inputs!$B$7),0,((B28-Inputs!$B$7)+0)))</f>
        <v>9</v>
      </c>
      <c r="B28" s="19">
        <f t="shared" si="2"/>
        <v>2037</v>
      </c>
      <c r="C28" s="100"/>
      <c r="D28" s="101">
        <f t="shared" si="1"/>
        <v>0</v>
      </c>
      <c r="E28" s="102"/>
    </row>
    <row r="29" spans="1:5" x14ac:dyDescent="0.3">
      <c r="A29" s="21">
        <f>IF((B29&gt;(Inputs!$B$7+Inputs!$B$8-0)),0,IF((B29&lt;Inputs!$B$7),0,((B29-Inputs!$B$7)+0)))</f>
        <v>10</v>
      </c>
      <c r="B29" s="19">
        <f t="shared" si="2"/>
        <v>2038</v>
      </c>
      <c r="C29" s="100"/>
      <c r="D29" s="101">
        <f t="shared" si="1"/>
        <v>0</v>
      </c>
      <c r="E29" s="102"/>
    </row>
    <row r="30" spans="1:5" x14ac:dyDescent="0.3">
      <c r="A30" s="21">
        <f>IF((B30&gt;(Inputs!$B$7+Inputs!$B$8-0)),0,IF((B30&lt;Inputs!$B$7),0,((B30-Inputs!$B$7)+0)))</f>
        <v>11</v>
      </c>
      <c r="B30" s="19">
        <f t="shared" si="2"/>
        <v>2039</v>
      </c>
      <c r="C30" s="100"/>
      <c r="D30" s="101">
        <f t="shared" si="1"/>
        <v>0</v>
      </c>
      <c r="E30" s="102"/>
    </row>
    <row r="31" spans="1:5" x14ac:dyDescent="0.3">
      <c r="A31" s="21">
        <f>IF((B31&gt;(Inputs!$B$7+Inputs!$B$8-0)),0,IF((B31&lt;Inputs!$B$7),0,((B31-Inputs!$B$7)+0)))</f>
        <v>12</v>
      </c>
      <c r="B31" s="19">
        <f t="shared" si="2"/>
        <v>2040</v>
      </c>
      <c r="C31" s="100"/>
      <c r="D31" s="101">
        <f t="shared" si="1"/>
        <v>0</v>
      </c>
      <c r="E31" s="102"/>
    </row>
    <row r="32" spans="1:5" x14ac:dyDescent="0.3">
      <c r="A32" s="21">
        <f>IF((B32&gt;(Inputs!$B$7+Inputs!$B$8-0)),0,IF((B32&lt;Inputs!$B$7),0,((B32-Inputs!$B$7)+0)))</f>
        <v>13</v>
      </c>
      <c r="B32" s="19">
        <f t="shared" si="2"/>
        <v>2041</v>
      </c>
      <c r="C32" s="100"/>
      <c r="D32" s="101">
        <f t="shared" si="1"/>
        <v>0</v>
      </c>
      <c r="E32" s="102"/>
    </row>
    <row r="33" spans="1:5" x14ac:dyDescent="0.3">
      <c r="A33" s="21">
        <f>IF((B33&gt;(Inputs!$B$7+Inputs!$B$8-0)),0,IF((B33&lt;Inputs!$B$7),0,((B33-Inputs!$B$7)+0)))</f>
        <v>14</v>
      </c>
      <c r="B33" s="19">
        <f t="shared" si="2"/>
        <v>2042</v>
      </c>
      <c r="C33" s="100"/>
      <c r="D33" s="101">
        <f t="shared" si="1"/>
        <v>0</v>
      </c>
      <c r="E33" s="102"/>
    </row>
    <row r="34" spans="1:5" x14ac:dyDescent="0.3">
      <c r="A34" s="21">
        <f>IF((B34&gt;(Inputs!$B$7+Inputs!$B$8-0)),0,IF((B34&lt;Inputs!$B$7),0,((B34-Inputs!$B$7)+0)))</f>
        <v>15</v>
      </c>
      <c r="B34" s="19">
        <f t="shared" si="2"/>
        <v>2043</v>
      </c>
      <c r="C34" s="100"/>
      <c r="D34" s="101">
        <f t="shared" si="1"/>
        <v>0</v>
      </c>
      <c r="E34" s="102"/>
    </row>
    <row r="35" spans="1:5" x14ac:dyDescent="0.3">
      <c r="A35" s="35"/>
      <c r="B35" s="19" t="s">
        <v>135</v>
      </c>
      <c r="C35" s="103">
        <f>SUM(C11:C34)</f>
        <v>303709880.64280587</v>
      </c>
      <c r="D35" s="103">
        <f>SUM(D11:D34)</f>
        <v>244911632</v>
      </c>
      <c r="E35" s="104"/>
    </row>
  </sheetData>
  <phoneticPr fontId="47" type="noConversion"/>
  <pageMargins left="0.7" right="0.7" top="0.75" bottom="0.75" header="0.3" footer="0.3"/>
  <pageSetup paperSize="35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62"/>
  <sheetViews>
    <sheetView topLeftCell="A13" zoomScaleNormal="100" workbookViewId="0">
      <selection activeCell="A34" sqref="A34"/>
    </sheetView>
  </sheetViews>
  <sheetFormatPr defaultColWidth="8.6640625" defaultRowHeight="13.8" x14ac:dyDescent="0.3"/>
  <cols>
    <col min="1" max="1" width="68.6640625" style="58" customWidth="1"/>
    <col min="2" max="2" width="18.33203125" style="58" customWidth="1"/>
    <col min="3" max="3" width="85" style="58" customWidth="1"/>
    <col min="4" max="16384" width="8.6640625" style="22"/>
  </cols>
  <sheetData>
    <row r="1" spans="1:4" x14ac:dyDescent="0.3">
      <c r="A1" s="80" t="s">
        <v>49</v>
      </c>
      <c r="B1" s="80" t="s">
        <v>50</v>
      </c>
      <c r="C1" s="80" t="s">
        <v>51</v>
      </c>
    </row>
    <row r="2" spans="1:4" x14ac:dyDescent="0.3">
      <c r="A2" s="80" t="s">
        <v>52</v>
      </c>
      <c r="B2" s="80"/>
      <c r="C2" s="80"/>
    </row>
    <row r="3" spans="1:4" x14ac:dyDescent="0.3">
      <c r="A3" s="81" t="s">
        <v>53</v>
      </c>
      <c r="B3" s="82">
        <v>7.0000000000000007E-2</v>
      </c>
      <c r="C3" s="69" t="s">
        <v>54</v>
      </c>
    </row>
    <row r="4" spans="1:4" x14ac:dyDescent="0.3">
      <c r="A4" s="69" t="s">
        <v>55</v>
      </c>
      <c r="B4" s="83">
        <v>0.03</v>
      </c>
      <c r="C4" s="69" t="s">
        <v>54</v>
      </c>
    </row>
    <row r="5" spans="1:4" x14ac:dyDescent="0.3">
      <c r="A5" s="69" t="s">
        <v>56</v>
      </c>
      <c r="B5" s="69" t="s">
        <v>57</v>
      </c>
      <c r="C5" s="84" t="s">
        <v>58</v>
      </c>
    </row>
    <row r="6" spans="1:4" x14ac:dyDescent="0.3">
      <c r="A6" s="69" t="s">
        <v>59</v>
      </c>
      <c r="B6" s="69">
        <v>2023</v>
      </c>
      <c r="C6" s="105" t="s">
        <v>60</v>
      </c>
    </row>
    <row r="7" spans="1:4" x14ac:dyDescent="0.3">
      <c r="A7" s="69" t="s">
        <v>61</v>
      </c>
      <c r="B7" s="69">
        <v>2028</v>
      </c>
      <c r="C7" s="105" t="s">
        <v>60</v>
      </c>
    </row>
    <row r="8" spans="1:4" x14ac:dyDescent="0.3">
      <c r="A8" s="69" t="s">
        <v>62</v>
      </c>
      <c r="B8" s="69">
        <v>20</v>
      </c>
      <c r="C8" s="70"/>
    </row>
    <row r="9" spans="1:4" x14ac:dyDescent="0.3">
      <c r="A9" s="69" t="s">
        <v>63</v>
      </c>
      <c r="B9" s="69">
        <v>2021</v>
      </c>
      <c r="C9" s="69" t="s">
        <v>54</v>
      </c>
    </row>
    <row r="10" spans="1:4" x14ac:dyDescent="0.3">
      <c r="A10" s="69" t="s">
        <v>64</v>
      </c>
      <c r="B10" s="69">
        <v>2021</v>
      </c>
      <c r="C10" s="69" t="s">
        <v>54</v>
      </c>
    </row>
    <row r="11" spans="1:4" x14ac:dyDescent="0.3">
      <c r="A11" s="69" t="s">
        <v>65</v>
      </c>
      <c r="B11" s="69">
        <v>2028</v>
      </c>
      <c r="C11" s="105" t="s">
        <v>60</v>
      </c>
    </row>
    <row r="12" spans="1:4" x14ac:dyDescent="0.3">
      <c r="A12" s="69" t="s">
        <v>864</v>
      </c>
      <c r="B12" s="69">
        <v>0.5</v>
      </c>
      <c r="C12" s="105" t="s">
        <v>60</v>
      </c>
    </row>
    <row r="13" spans="1:4" x14ac:dyDescent="0.3">
      <c r="A13" s="178" t="s">
        <v>66</v>
      </c>
      <c r="B13" s="70"/>
      <c r="C13" s="70"/>
    </row>
    <row r="14" spans="1:4" x14ac:dyDescent="0.3">
      <c r="A14" s="176" t="s">
        <v>67</v>
      </c>
      <c r="B14" s="282">
        <v>0.06</v>
      </c>
      <c r="C14" s="176" t="s">
        <v>68</v>
      </c>
      <c r="D14" s="59"/>
    </row>
    <row r="15" spans="1:4" x14ac:dyDescent="0.3">
      <c r="A15" s="176" t="s">
        <v>69</v>
      </c>
      <c r="B15" s="176">
        <v>320</v>
      </c>
      <c r="C15" s="176" t="s">
        <v>70</v>
      </c>
    </row>
    <row r="16" spans="1:4" x14ac:dyDescent="0.3">
      <c r="A16" s="176" t="s">
        <v>71</v>
      </c>
      <c r="B16" s="176">
        <f>24*12</f>
        <v>288</v>
      </c>
      <c r="C16" s="176" t="s">
        <v>72</v>
      </c>
    </row>
    <row r="17" spans="1:4" x14ac:dyDescent="0.3">
      <c r="A17" s="176" t="s">
        <v>73</v>
      </c>
      <c r="B17" s="420">
        <f>TrafficData!B5</f>
        <v>3.1744892994098661E-2</v>
      </c>
      <c r="C17" s="176" t="s">
        <v>68</v>
      </c>
    </row>
    <row r="18" spans="1:4" x14ac:dyDescent="0.3">
      <c r="A18" s="176" t="s">
        <v>74</v>
      </c>
      <c r="B18" s="199">
        <f>15/60</f>
        <v>0.25</v>
      </c>
      <c r="C18" s="176" t="s">
        <v>68</v>
      </c>
      <c r="D18" s="59"/>
    </row>
    <row r="19" spans="1:4" x14ac:dyDescent="0.3">
      <c r="A19" s="176" t="s">
        <v>75</v>
      </c>
      <c r="B19" s="199">
        <f>8/60</f>
        <v>0.13333333333333333</v>
      </c>
      <c r="C19" s="176" t="s">
        <v>68</v>
      </c>
      <c r="D19" s="59"/>
    </row>
    <row r="20" spans="1:4" x14ac:dyDescent="0.3">
      <c r="A20" s="176" t="s">
        <v>76</v>
      </c>
      <c r="B20" s="199">
        <f>SUM(B18-B19)</f>
        <v>0.11666666666666667</v>
      </c>
      <c r="C20" s="176" t="s">
        <v>68</v>
      </c>
    </row>
    <row r="21" spans="1:4" s="59" customFormat="1" x14ac:dyDescent="0.3">
      <c r="A21" s="176" t="s">
        <v>77</v>
      </c>
      <c r="B21" s="199">
        <f>TIMS_Summary!E26</f>
        <v>3.5366238217660197</v>
      </c>
      <c r="C21" s="176" t="s">
        <v>78</v>
      </c>
    </row>
    <row r="22" spans="1:4" s="59" customFormat="1" x14ac:dyDescent="0.3">
      <c r="A22" s="176" t="s">
        <v>79</v>
      </c>
      <c r="B22" s="283">
        <f>(40-20)/60</f>
        <v>0.33333333333333331</v>
      </c>
      <c r="C22" s="176" t="s">
        <v>80</v>
      </c>
    </row>
    <row r="23" spans="1:4" s="59" customFormat="1" x14ac:dyDescent="0.3">
      <c r="A23" s="176" t="s">
        <v>81</v>
      </c>
      <c r="B23" s="283">
        <v>0.5</v>
      </c>
      <c r="C23" s="176" t="s">
        <v>82</v>
      </c>
    </row>
    <row r="24" spans="1:4" s="59" customFormat="1" x14ac:dyDescent="0.3">
      <c r="A24" s="176" t="s">
        <v>83</v>
      </c>
      <c r="B24" s="283">
        <f>TIMS_Summary!J34</f>
        <v>32.570487534561032</v>
      </c>
      <c r="C24" s="176" t="s">
        <v>78</v>
      </c>
    </row>
    <row r="25" spans="1:4" s="59" customFormat="1" x14ac:dyDescent="0.3">
      <c r="A25" s="176" t="s">
        <v>84</v>
      </c>
      <c r="B25" s="176">
        <v>13</v>
      </c>
      <c r="C25" s="176" t="s">
        <v>85</v>
      </c>
    </row>
    <row r="26" spans="1:4" s="59" customFormat="1" x14ac:dyDescent="0.3">
      <c r="A26" s="174" t="s">
        <v>86</v>
      </c>
      <c r="B26" s="175">
        <v>1.67</v>
      </c>
      <c r="C26" s="176" t="s">
        <v>54</v>
      </c>
    </row>
    <row r="27" spans="1:4" s="59" customFormat="1" ht="22.5" customHeight="1" x14ac:dyDescent="0.3">
      <c r="A27" s="174" t="s">
        <v>87</v>
      </c>
      <c r="B27" s="284">
        <v>0.4</v>
      </c>
      <c r="C27" s="180" t="s">
        <v>88</v>
      </c>
    </row>
    <row r="28" spans="1:4" s="66" customFormat="1" x14ac:dyDescent="0.3">
      <c r="A28" s="178" t="s">
        <v>89</v>
      </c>
      <c r="B28" s="187"/>
      <c r="C28" s="176"/>
    </row>
    <row r="29" spans="1:4" s="66" customFormat="1" x14ac:dyDescent="0.3">
      <c r="A29" s="176" t="s">
        <v>90</v>
      </c>
      <c r="B29" s="199">
        <v>45</v>
      </c>
      <c r="C29" s="176" t="s">
        <v>91</v>
      </c>
    </row>
    <row r="30" spans="1:4" s="66" customFormat="1" x14ac:dyDescent="0.3">
      <c r="A30" s="178" t="s">
        <v>12</v>
      </c>
      <c r="B30" s="179"/>
      <c r="C30" s="176"/>
    </row>
    <row r="31" spans="1:4" s="66" customFormat="1" ht="27.6" x14ac:dyDescent="0.3">
      <c r="A31" s="180" t="s">
        <v>92</v>
      </c>
      <c r="B31" s="177">
        <v>0.46</v>
      </c>
      <c r="C31" s="176" t="s">
        <v>54</v>
      </c>
    </row>
    <row r="32" spans="1:4" x14ac:dyDescent="0.3">
      <c r="A32" s="81" t="s">
        <v>93</v>
      </c>
      <c r="B32" s="85">
        <v>18.8</v>
      </c>
      <c r="C32" s="69" t="s">
        <v>54</v>
      </c>
    </row>
    <row r="33" spans="1:3" x14ac:dyDescent="0.3">
      <c r="A33" s="69" t="s">
        <v>94</v>
      </c>
      <c r="B33" s="86">
        <v>32.4</v>
      </c>
      <c r="C33" s="30" t="s">
        <v>54</v>
      </c>
    </row>
    <row r="34" spans="1:3" ht="55.2" x14ac:dyDescent="0.3">
      <c r="A34" s="174" t="s">
        <v>95</v>
      </c>
      <c r="B34" s="464">
        <f>'ARTI TruckOp_hr'!E13*(Deflator!C90/Deflator!C91)</f>
        <v>55.971845469705386</v>
      </c>
      <c r="C34" s="180" t="s">
        <v>869</v>
      </c>
    </row>
    <row r="35" spans="1:3" s="66" customFormat="1" x14ac:dyDescent="0.3">
      <c r="A35" s="174" t="s">
        <v>96</v>
      </c>
      <c r="B35" s="177">
        <v>35</v>
      </c>
      <c r="C35" s="180" t="s">
        <v>54</v>
      </c>
    </row>
    <row r="36" spans="1:3" s="66" customFormat="1" x14ac:dyDescent="0.3">
      <c r="A36" s="174" t="s">
        <v>97</v>
      </c>
      <c r="B36" s="183">
        <v>1505</v>
      </c>
      <c r="C36" s="285" t="s">
        <v>98</v>
      </c>
    </row>
    <row r="37" spans="1:3" s="66" customFormat="1" x14ac:dyDescent="0.3">
      <c r="A37" s="174" t="s">
        <v>99</v>
      </c>
      <c r="B37" s="183">
        <f>B36*12</f>
        <v>18060</v>
      </c>
      <c r="C37" s="285" t="s">
        <v>100</v>
      </c>
    </row>
    <row r="38" spans="1:3" s="66" customFormat="1" x14ac:dyDescent="0.3">
      <c r="A38" s="174" t="s">
        <v>101</v>
      </c>
      <c r="B38" s="176">
        <f>9*24</f>
        <v>216</v>
      </c>
      <c r="C38" s="285" t="s">
        <v>98</v>
      </c>
    </row>
    <row r="39" spans="1:3" s="66" customFormat="1" x14ac:dyDescent="0.3">
      <c r="A39" s="178" t="s">
        <v>102</v>
      </c>
      <c r="B39" s="179"/>
      <c r="C39" s="176"/>
    </row>
    <row r="40" spans="1:3" s="66" customFormat="1" x14ac:dyDescent="0.3">
      <c r="A40" s="174" t="s">
        <v>103</v>
      </c>
      <c r="B40" s="186">
        <v>4800</v>
      </c>
      <c r="C40" s="176" t="s">
        <v>54</v>
      </c>
    </row>
    <row r="41" spans="1:3" x14ac:dyDescent="0.3">
      <c r="A41" s="69" t="s">
        <v>104</v>
      </c>
      <c r="B41" s="87">
        <v>4000</v>
      </c>
      <c r="C41" s="69" t="s">
        <v>54</v>
      </c>
    </row>
    <row r="42" spans="1:3" x14ac:dyDescent="0.3">
      <c r="A42" s="69" t="s">
        <v>105</v>
      </c>
      <c r="B42" s="87">
        <v>78500</v>
      </c>
      <c r="C42" s="69" t="s">
        <v>54</v>
      </c>
    </row>
    <row r="43" spans="1:3" x14ac:dyDescent="0.3">
      <c r="A43" s="69" t="s">
        <v>106</v>
      </c>
      <c r="B43" s="87">
        <v>153700</v>
      </c>
      <c r="C43" s="69" t="s">
        <v>54</v>
      </c>
    </row>
    <row r="44" spans="1:3" x14ac:dyDescent="0.3">
      <c r="A44" s="69" t="s">
        <v>107</v>
      </c>
      <c r="B44" s="87">
        <v>564300</v>
      </c>
      <c r="C44" s="69" t="s">
        <v>54</v>
      </c>
    </row>
    <row r="45" spans="1:3" x14ac:dyDescent="0.3">
      <c r="A45" s="69" t="s">
        <v>108</v>
      </c>
      <c r="B45" s="87">
        <v>11800000</v>
      </c>
      <c r="C45" s="69" t="s">
        <v>54</v>
      </c>
    </row>
    <row r="46" spans="1:3" x14ac:dyDescent="0.3">
      <c r="A46" s="69" t="s">
        <v>109</v>
      </c>
      <c r="B46" s="87">
        <v>213900</v>
      </c>
      <c r="C46" s="69" t="s">
        <v>54</v>
      </c>
    </row>
    <row r="47" spans="1:3" s="66" customFormat="1" x14ac:dyDescent="0.3">
      <c r="A47" s="176" t="s">
        <v>110</v>
      </c>
      <c r="B47" s="186">
        <v>162600</v>
      </c>
      <c r="C47" s="176" t="s">
        <v>54</v>
      </c>
    </row>
    <row r="48" spans="1:3" x14ac:dyDescent="0.3">
      <c r="A48" s="69" t="s">
        <v>111</v>
      </c>
      <c r="B48" s="87">
        <v>307800</v>
      </c>
      <c r="C48" s="69" t="s">
        <v>54</v>
      </c>
    </row>
    <row r="49" spans="1:3" x14ac:dyDescent="0.3">
      <c r="A49" s="69" t="s">
        <v>112</v>
      </c>
      <c r="B49" s="87">
        <v>13046800</v>
      </c>
      <c r="C49" s="69" t="s">
        <v>54</v>
      </c>
    </row>
    <row r="50" spans="1:3" ht="14.25" customHeight="1" x14ac:dyDescent="0.3">
      <c r="A50" s="418" t="s">
        <v>113</v>
      </c>
      <c r="B50" s="419">
        <v>8082</v>
      </c>
      <c r="C50" s="418" t="s">
        <v>114</v>
      </c>
    </row>
    <row r="51" spans="1:3" s="66" customFormat="1" ht="14.25" customHeight="1" x14ac:dyDescent="0.3">
      <c r="A51" s="176" t="s">
        <v>115</v>
      </c>
      <c r="B51" s="188">
        <v>0.11</v>
      </c>
      <c r="C51" s="176" t="s">
        <v>54</v>
      </c>
    </row>
    <row r="52" spans="1:3" s="66" customFormat="1" x14ac:dyDescent="0.3">
      <c r="A52" s="176" t="s">
        <v>116</v>
      </c>
      <c r="B52" s="176">
        <v>7.2</v>
      </c>
      <c r="C52" s="176" t="s">
        <v>54</v>
      </c>
    </row>
    <row r="53" spans="1:3" s="66" customFormat="1" x14ac:dyDescent="0.3">
      <c r="A53" s="176" t="s">
        <v>117</v>
      </c>
      <c r="B53" s="176">
        <v>6.42</v>
      </c>
      <c r="C53" s="176" t="s">
        <v>54</v>
      </c>
    </row>
    <row r="54" spans="1:3" x14ac:dyDescent="0.3">
      <c r="A54" s="176" t="s">
        <v>118</v>
      </c>
      <c r="B54" s="176">
        <v>6</v>
      </c>
      <c r="C54" s="176" t="s">
        <v>60</v>
      </c>
    </row>
    <row r="55" spans="1:3" x14ac:dyDescent="0.3">
      <c r="A55" s="176" t="s">
        <v>119</v>
      </c>
      <c r="B55" s="176">
        <v>2</v>
      </c>
      <c r="C55" s="176" t="s">
        <v>60</v>
      </c>
    </row>
    <row r="56" spans="1:3" x14ac:dyDescent="0.3">
      <c r="A56" s="176" t="s">
        <v>120</v>
      </c>
      <c r="B56" s="176">
        <v>1</v>
      </c>
      <c r="C56" s="176" t="s">
        <v>60</v>
      </c>
    </row>
    <row r="57" spans="1:3" s="66" customFormat="1" x14ac:dyDescent="0.3">
      <c r="A57" s="178" t="s">
        <v>121</v>
      </c>
      <c r="B57" s="179"/>
      <c r="C57" s="176"/>
    </row>
    <row r="58" spans="1:3" s="66" customFormat="1" ht="27.6" x14ac:dyDescent="0.3">
      <c r="A58" s="180" t="s">
        <v>122</v>
      </c>
      <c r="B58" s="181">
        <f>AVERAGE(3.515,4.065)</f>
        <v>3.79</v>
      </c>
      <c r="C58" s="182" t="s">
        <v>123</v>
      </c>
    </row>
    <row r="59" spans="1:3" s="66" customFormat="1" ht="15" x14ac:dyDescent="0.3">
      <c r="A59" s="180" t="s">
        <v>867</v>
      </c>
      <c r="B59" s="183">
        <v>2443.9299999999998</v>
      </c>
      <c r="C59" s="182" t="s">
        <v>124</v>
      </c>
    </row>
    <row r="60" spans="1:3" s="66" customFormat="1" ht="27.6" x14ac:dyDescent="0.3">
      <c r="A60" s="180" t="s">
        <v>125</v>
      </c>
      <c r="B60" s="184">
        <v>30.343</v>
      </c>
      <c r="C60" s="182" t="s">
        <v>123</v>
      </c>
    </row>
    <row r="61" spans="1:3" s="66" customFormat="1" ht="27.6" x14ac:dyDescent="0.3">
      <c r="A61" s="185" t="s">
        <v>868</v>
      </c>
      <c r="B61" s="184">
        <v>19.055</v>
      </c>
      <c r="C61" s="182" t="s">
        <v>123</v>
      </c>
    </row>
    <row r="62" spans="1:3" s="66" customFormat="1" ht="27.6" x14ac:dyDescent="0.3">
      <c r="A62" s="176" t="s">
        <v>126</v>
      </c>
      <c r="B62" s="176">
        <v>1.093</v>
      </c>
      <c r="C62" s="182" t="s">
        <v>123</v>
      </c>
    </row>
  </sheetData>
  <hyperlinks>
    <hyperlink ref="C5" r:id="rId1" xr:uid="{713C7F78-2D8D-4762-964B-CBD8B2F0F40D}"/>
  </hyperlinks>
  <pageMargins left="0.7" right="0.7" top="0.75" bottom="0.75" header="0.3" footer="0.3"/>
  <pageSetup orientation="portrait" horizontalDpi="1200" verticalDpi="12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35"/>
  <sheetViews>
    <sheetView workbookViewId="0">
      <selection activeCell="C4" sqref="C4"/>
    </sheetView>
  </sheetViews>
  <sheetFormatPr defaultColWidth="8.6640625" defaultRowHeight="14.4" x14ac:dyDescent="0.3"/>
  <cols>
    <col min="1" max="1" width="7.44140625" style="3" customWidth="1"/>
    <col min="2" max="2" width="27.33203125" style="3" customWidth="1"/>
    <col min="3" max="3" width="14.6640625" style="3" bestFit="1" customWidth="1"/>
    <col min="4" max="4" width="16.109375" style="3" customWidth="1"/>
    <col min="5" max="5" width="14.6640625" style="3" customWidth="1"/>
    <col min="6" max="6" width="16.88671875" style="3" customWidth="1"/>
    <col min="7" max="7" width="14.6640625" style="3" customWidth="1"/>
    <col min="8" max="8" width="12.5546875" style="3" bestFit="1" customWidth="1"/>
    <col min="9" max="9" width="43.6640625" style="3" customWidth="1"/>
    <col min="10" max="10" width="8.6640625" style="3"/>
    <col min="11" max="11" width="12" style="3" customWidth="1"/>
    <col min="12" max="12" width="11.44140625" style="3" customWidth="1"/>
    <col min="13" max="16384" width="8.6640625" style="3"/>
  </cols>
  <sheetData>
    <row r="1" spans="1:12" x14ac:dyDescent="0.3">
      <c r="A1" s="5" t="s">
        <v>136</v>
      </c>
      <c r="I1" s="5" t="s">
        <v>137</v>
      </c>
    </row>
    <row r="2" spans="1:12" x14ac:dyDescent="0.3">
      <c r="A2" s="5"/>
      <c r="C2" s="5"/>
      <c r="D2" s="5"/>
      <c r="E2" s="5"/>
      <c r="F2" s="5"/>
      <c r="G2" s="5"/>
      <c r="H2" s="5"/>
      <c r="I2" s="3" t="s">
        <v>138</v>
      </c>
      <c r="J2" s="3" t="s">
        <v>139</v>
      </c>
      <c r="K2" s="148" t="s">
        <v>140</v>
      </c>
      <c r="L2" s="148" t="s">
        <v>141</v>
      </c>
    </row>
    <row r="3" spans="1:12" x14ac:dyDescent="0.3">
      <c r="A3" s="3" t="s">
        <v>142</v>
      </c>
      <c r="C3" s="145">
        <f>50000*Deflator!$C$90/Deflator!$C$91</f>
        <v>46760.104820138171</v>
      </c>
      <c r="D3" s="145"/>
      <c r="E3" s="5"/>
      <c r="F3" s="5"/>
      <c r="G3" s="145"/>
      <c r="I3" s="3" t="s">
        <v>143</v>
      </c>
      <c r="J3" s="3">
        <v>15</v>
      </c>
      <c r="K3" s="192">
        <v>7661078</v>
      </c>
      <c r="L3" s="56">
        <f>K3*(Deflator!$D$90/Deflator!$D$91)</f>
        <v>7236123.1791520296</v>
      </c>
    </row>
    <row r="4" spans="1:12" x14ac:dyDescent="0.3">
      <c r="A4" s="3" t="s">
        <v>144</v>
      </c>
      <c r="C4" s="145">
        <f>80000*Deflator!$C$90/Deflator!$C$91</f>
        <v>74816.167712221068</v>
      </c>
      <c r="D4" s="145"/>
      <c r="E4" s="5"/>
      <c r="F4" s="5"/>
      <c r="G4" s="145"/>
      <c r="I4" s="3" t="s">
        <v>145</v>
      </c>
      <c r="J4" s="3">
        <v>50</v>
      </c>
      <c r="K4" s="192">
        <v>1934714</v>
      </c>
      <c r="L4" s="56">
        <f>K4*(Deflator!$D$90/Deflator!$D$91)</f>
        <v>1827396.7215096804</v>
      </c>
    </row>
    <row r="5" spans="1:12" x14ac:dyDescent="0.3">
      <c r="A5" s="3" t="s">
        <v>146</v>
      </c>
      <c r="C5" s="145">
        <f>C3-C4</f>
        <v>-28056.062892082897</v>
      </c>
      <c r="D5" s="145"/>
      <c r="E5" s="5"/>
      <c r="F5" s="5"/>
      <c r="G5" s="145"/>
      <c r="I5" s="3" t="s">
        <v>147</v>
      </c>
      <c r="J5" s="3">
        <v>20</v>
      </c>
      <c r="K5" s="192">
        <v>130968</v>
      </c>
      <c r="L5" s="56">
        <f>K5*(Deflator!$D$90/Deflator!$D$91)</f>
        <v>123703.29352177109</v>
      </c>
    </row>
    <row r="6" spans="1:12" x14ac:dyDescent="0.3">
      <c r="A6" s="3" t="s">
        <v>148</v>
      </c>
      <c r="C6" s="145">
        <f>3000000*Deflator!$C$90/Deflator!$C$91</f>
        <v>2805606.2892082902</v>
      </c>
      <c r="D6" s="145"/>
      <c r="E6" s="145"/>
      <c r="F6" s="145"/>
      <c r="G6" s="145"/>
      <c r="I6" s="3" t="s">
        <v>149</v>
      </c>
      <c r="J6" s="3">
        <v>75</v>
      </c>
      <c r="K6" s="192">
        <v>1000000</v>
      </c>
      <c r="L6" s="56">
        <f>K6*(Deflator!$D$90/Deflator!$D$91)</f>
        <v>944530.67559839878</v>
      </c>
    </row>
    <row r="8" spans="1:12" x14ac:dyDescent="0.3">
      <c r="B8" s="3" t="s">
        <v>131</v>
      </c>
      <c r="C8" s="3">
        <f>Inputs!$B$10</f>
        <v>2021</v>
      </c>
    </row>
    <row r="9" spans="1:12" x14ac:dyDescent="0.3">
      <c r="A9" s="148"/>
      <c r="H9" s="168">
        <f>Inputs!$B$3</f>
        <v>7.0000000000000007E-2</v>
      </c>
    </row>
    <row r="10" spans="1:12" ht="37.5" customHeight="1" x14ac:dyDescent="0.3">
      <c r="A10" s="169" t="s">
        <v>132</v>
      </c>
      <c r="B10" s="5" t="s">
        <v>133</v>
      </c>
      <c r="C10" s="193" t="s">
        <v>150</v>
      </c>
      <c r="D10" s="193" t="s">
        <v>151</v>
      </c>
      <c r="E10" s="193" t="s">
        <v>152</v>
      </c>
      <c r="F10" s="193" t="s">
        <v>153</v>
      </c>
      <c r="G10" s="193" t="s">
        <v>154</v>
      </c>
      <c r="H10" s="193" t="s">
        <v>134</v>
      </c>
    </row>
    <row r="11" spans="1:12" x14ac:dyDescent="0.3">
      <c r="A11" s="194">
        <v>0</v>
      </c>
      <c r="B11" s="195">
        <v>2025</v>
      </c>
      <c r="C11" s="196">
        <f>SUM(L3:L6)+C3</f>
        <v>10178513.974602019</v>
      </c>
      <c r="D11" s="172">
        <f t="shared" ref="D11:D33" si="0">ROUND(C11/((1+H$9)^($B11-C$8)),0)</f>
        <v>7765140</v>
      </c>
      <c r="E11" s="196"/>
      <c r="F11" s="196">
        <f t="shared" ref="F11:F33" si="1">ROUND(E11/((1+H$9)^($B11-C$8)),0)</f>
        <v>0</v>
      </c>
      <c r="G11" s="196">
        <f>C11-E11</f>
        <v>10178513.974602019</v>
      </c>
      <c r="H11" s="172">
        <f>ROUND(G11/((1+H$9)^($B11-C$8)),0)</f>
        <v>7765140</v>
      </c>
    </row>
    <row r="12" spans="1:12" x14ac:dyDescent="0.3">
      <c r="A12" s="194">
        <f>IF((B12&gt;(Inputs!$B$7+Inputs!$B$8-0)),0,IF((B12&lt;Inputs!$B$7),0,((B12-Inputs!$B$7)+0)))</f>
        <v>0</v>
      </c>
      <c r="B12" s="197">
        <f>B11+1</f>
        <v>2026</v>
      </c>
      <c r="C12" s="196"/>
      <c r="D12" s="172">
        <f t="shared" si="0"/>
        <v>0</v>
      </c>
      <c r="E12" s="196"/>
      <c r="F12" s="196">
        <f t="shared" si="1"/>
        <v>0</v>
      </c>
      <c r="G12" s="196">
        <f t="shared" ref="G12:G13" si="2">C12-E12</f>
        <v>0</v>
      </c>
      <c r="H12" s="172">
        <f t="shared" ref="H12:H13" si="3">ROUND(G12/((1+H$9)^($B12-C$8)),0)</f>
        <v>0</v>
      </c>
    </row>
    <row r="13" spans="1:12" x14ac:dyDescent="0.3">
      <c r="A13" s="194">
        <f>IF((B13&gt;(Inputs!$B$7+Inputs!$B$8-0)),0,IF((B13&lt;Inputs!$B$7),0,((B13-Inputs!$B$7)+0)))</f>
        <v>0</v>
      </c>
      <c r="B13" s="197">
        <f t="shared" ref="B13:B30" si="4">B12+1</f>
        <v>2027</v>
      </c>
      <c r="C13" s="196"/>
      <c r="D13" s="172">
        <f t="shared" si="0"/>
        <v>0</v>
      </c>
      <c r="E13" s="196"/>
      <c r="F13" s="196">
        <f t="shared" si="1"/>
        <v>0</v>
      </c>
      <c r="G13" s="196">
        <f t="shared" si="2"/>
        <v>0</v>
      </c>
      <c r="H13" s="172">
        <f t="shared" si="3"/>
        <v>0</v>
      </c>
    </row>
    <row r="14" spans="1:12" x14ac:dyDescent="0.3">
      <c r="A14" s="194">
        <f>IF((B14&gt;(Inputs!$B$7+Inputs!$B$8-0)),0,IF((B14&lt;Inputs!$B$7),0,((B14-Inputs!$B$7)+0)))</f>
        <v>0</v>
      </c>
      <c r="B14" s="197">
        <f t="shared" si="4"/>
        <v>2028</v>
      </c>
      <c r="C14" s="397">
        <f>$C$3*Inputs!$B$12</f>
        <v>23380.052410069085</v>
      </c>
      <c r="D14" s="172">
        <f t="shared" si="0"/>
        <v>14560</v>
      </c>
      <c r="E14" s="397">
        <f>$C$4*Inputs!$B$12</f>
        <v>37408.083856110534</v>
      </c>
      <c r="F14" s="196">
        <f t="shared" si="1"/>
        <v>23296</v>
      </c>
      <c r="G14" s="196">
        <f t="shared" ref="G14:G33" si="5">C14-E14</f>
        <v>-14028.031446041448</v>
      </c>
      <c r="H14" s="172">
        <f t="shared" ref="H14:H33" si="6">ROUND(G14/((1+H$9)^($B14-C$8)),0)</f>
        <v>-8736</v>
      </c>
    </row>
    <row r="15" spans="1:12" x14ac:dyDescent="0.3">
      <c r="A15" s="194">
        <f>IF((B15&gt;(Inputs!$B$7+Inputs!$B$8-0)),0,IF((B15&lt;Inputs!$B$7),0,((B15-Inputs!$B$7)+0)))</f>
        <v>1</v>
      </c>
      <c r="B15" s="197">
        <f t="shared" si="4"/>
        <v>2029</v>
      </c>
      <c r="C15" s="196">
        <f t="shared" ref="C15:C33" si="7">$C$3</f>
        <v>46760.104820138171</v>
      </c>
      <c r="D15" s="172">
        <f t="shared" si="0"/>
        <v>27215</v>
      </c>
      <c r="E15" s="196">
        <f t="shared" ref="E15:E33" si="8">$C$4</f>
        <v>74816.167712221068</v>
      </c>
      <c r="F15" s="196">
        <f t="shared" si="1"/>
        <v>43544</v>
      </c>
      <c r="G15" s="196">
        <f t="shared" si="5"/>
        <v>-28056.062892082897</v>
      </c>
      <c r="H15" s="172">
        <f t="shared" si="6"/>
        <v>-16329</v>
      </c>
    </row>
    <row r="16" spans="1:12" x14ac:dyDescent="0.3">
      <c r="A16" s="194">
        <f>IF((B16&gt;(Inputs!$B$7+Inputs!$B$8-0)),0,IF((B16&lt;Inputs!$B$7),0,((B16-Inputs!$B$7)+0)))</f>
        <v>2</v>
      </c>
      <c r="B16" s="197">
        <f t="shared" si="4"/>
        <v>2030</v>
      </c>
      <c r="C16" s="196">
        <f t="shared" si="7"/>
        <v>46760.104820138171</v>
      </c>
      <c r="D16" s="172">
        <f t="shared" si="0"/>
        <v>25434</v>
      </c>
      <c r="E16" s="196">
        <f t="shared" si="8"/>
        <v>74816.167712221068</v>
      </c>
      <c r="F16" s="196">
        <f t="shared" si="1"/>
        <v>40695</v>
      </c>
      <c r="G16" s="196">
        <f t="shared" si="5"/>
        <v>-28056.062892082897</v>
      </c>
      <c r="H16" s="172">
        <f t="shared" si="6"/>
        <v>-15261</v>
      </c>
    </row>
    <row r="17" spans="1:8" x14ac:dyDescent="0.3">
      <c r="A17" s="194">
        <f>IF((B17&gt;(Inputs!$B$7+Inputs!$B$8-0)),0,IF((B17&lt;Inputs!$B$7),0,((B17-Inputs!$B$7)+0)))</f>
        <v>3</v>
      </c>
      <c r="B17" s="197">
        <f t="shared" si="4"/>
        <v>2031</v>
      </c>
      <c r="C17" s="196">
        <f t="shared" si="7"/>
        <v>46760.104820138171</v>
      </c>
      <c r="D17" s="172">
        <f t="shared" si="0"/>
        <v>23770</v>
      </c>
      <c r="E17" s="196">
        <f t="shared" si="8"/>
        <v>74816.167712221068</v>
      </c>
      <c r="F17" s="196">
        <f t="shared" si="1"/>
        <v>38033</v>
      </c>
      <c r="G17" s="196">
        <f t="shared" si="5"/>
        <v>-28056.062892082897</v>
      </c>
      <c r="H17" s="172">
        <f t="shared" si="6"/>
        <v>-14262</v>
      </c>
    </row>
    <row r="18" spans="1:8" x14ac:dyDescent="0.3">
      <c r="A18" s="194">
        <f>IF((B18&gt;(Inputs!$B$7+Inputs!$B$8-0)),0,IF((B18&lt;Inputs!$B$7),0,((B18-Inputs!$B$7)+0)))</f>
        <v>4</v>
      </c>
      <c r="B18" s="197">
        <f t="shared" si="4"/>
        <v>2032</v>
      </c>
      <c r="C18" s="196">
        <f t="shared" si="7"/>
        <v>46760.104820138171</v>
      </c>
      <c r="D18" s="172">
        <f t="shared" si="0"/>
        <v>22215</v>
      </c>
      <c r="E18" s="196">
        <f t="shared" si="8"/>
        <v>74816.167712221068</v>
      </c>
      <c r="F18" s="196">
        <f t="shared" si="1"/>
        <v>35545</v>
      </c>
      <c r="G18" s="196">
        <f t="shared" si="5"/>
        <v>-28056.062892082897</v>
      </c>
      <c r="H18" s="172">
        <f t="shared" si="6"/>
        <v>-13329</v>
      </c>
    </row>
    <row r="19" spans="1:8" x14ac:dyDescent="0.3">
      <c r="A19" s="194">
        <f>IF((B19&gt;(Inputs!$B$7+Inputs!$B$8-0)),0,IF((B19&lt;Inputs!$B$7),0,((B19-Inputs!$B$7)+0)))</f>
        <v>5</v>
      </c>
      <c r="B19" s="197">
        <f t="shared" si="4"/>
        <v>2033</v>
      </c>
      <c r="C19" s="196">
        <f t="shared" si="7"/>
        <v>46760.104820138171</v>
      </c>
      <c r="D19" s="172">
        <f t="shared" si="0"/>
        <v>20762</v>
      </c>
      <c r="E19" s="196">
        <f t="shared" si="8"/>
        <v>74816.167712221068</v>
      </c>
      <c r="F19" s="196">
        <f t="shared" si="1"/>
        <v>33219</v>
      </c>
      <c r="G19" s="196">
        <f>C19-E19</f>
        <v>-28056.062892082897</v>
      </c>
      <c r="H19" s="172">
        <f t="shared" si="6"/>
        <v>-12457</v>
      </c>
    </row>
    <row r="20" spans="1:8" x14ac:dyDescent="0.3">
      <c r="A20" s="194">
        <f>IF((B20&gt;(Inputs!$B$7+Inputs!$B$8-0)),0,IF((B20&lt;Inputs!$B$7),0,((B20-Inputs!$B$7)+0)))</f>
        <v>6</v>
      </c>
      <c r="B20" s="197">
        <f t="shared" si="4"/>
        <v>2034</v>
      </c>
      <c r="C20" s="196">
        <f t="shared" si="7"/>
        <v>46760.104820138171</v>
      </c>
      <c r="D20" s="172">
        <f t="shared" si="0"/>
        <v>19404</v>
      </c>
      <c r="E20" s="196">
        <f t="shared" si="8"/>
        <v>74816.167712221068</v>
      </c>
      <c r="F20" s="196">
        <f t="shared" si="1"/>
        <v>31046</v>
      </c>
      <c r="G20" s="196">
        <f t="shared" si="5"/>
        <v>-28056.062892082897</v>
      </c>
      <c r="H20" s="172">
        <f t="shared" si="6"/>
        <v>-11642</v>
      </c>
    </row>
    <row r="21" spans="1:8" x14ac:dyDescent="0.3">
      <c r="A21" s="194">
        <f>IF((B21&gt;(Inputs!$B$7+Inputs!$B$8-0)),0,IF((B21&lt;Inputs!$B$7),0,((B21-Inputs!$B$7)+0)))</f>
        <v>7</v>
      </c>
      <c r="B21" s="197">
        <f t="shared" si="4"/>
        <v>2035</v>
      </c>
      <c r="C21" s="196">
        <f t="shared" si="7"/>
        <v>46760.104820138171</v>
      </c>
      <c r="D21" s="172">
        <f t="shared" si="0"/>
        <v>18134</v>
      </c>
      <c r="E21" s="196">
        <f t="shared" si="8"/>
        <v>74816.167712221068</v>
      </c>
      <c r="F21" s="196">
        <f t="shared" si="1"/>
        <v>29015</v>
      </c>
      <c r="G21" s="196">
        <f t="shared" si="5"/>
        <v>-28056.062892082897</v>
      </c>
      <c r="H21" s="172">
        <f t="shared" si="6"/>
        <v>-10881</v>
      </c>
    </row>
    <row r="22" spans="1:8" x14ac:dyDescent="0.3">
      <c r="A22" s="194">
        <f>IF((B22&gt;(Inputs!$B$7+Inputs!$B$8-0)),0,IF((B22&lt;Inputs!$B$7),0,((B22-Inputs!$B$7)+0)))</f>
        <v>8</v>
      </c>
      <c r="B22" s="197">
        <f t="shared" si="4"/>
        <v>2036</v>
      </c>
      <c r="C22" s="196">
        <f t="shared" si="7"/>
        <v>46760.104820138171</v>
      </c>
      <c r="D22" s="172">
        <f t="shared" si="0"/>
        <v>16948</v>
      </c>
      <c r="E22" s="196">
        <f t="shared" si="8"/>
        <v>74816.167712221068</v>
      </c>
      <c r="F22" s="196">
        <f t="shared" si="1"/>
        <v>27117</v>
      </c>
      <c r="G22" s="196">
        <f t="shared" si="5"/>
        <v>-28056.062892082897</v>
      </c>
      <c r="H22" s="172">
        <f t="shared" si="6"/>
        <v>-10169</v>
      </c>
    </row>
    <row r="23" spans="1:8" x14ac:dyDescent="0.3">
      <c r="A23" s="194">
        <f>IF((B23&gt;(Inputs!$B$7+Inputs!$B$8-0)),0,IF((B23&lt;Inputs!$B$7),0,((B23-Inputs!$B$7)+0)))</f>
        <v>9</v>
      </c>
      <c r="B23" s="197">
        <f t="shared" si="4"/>
        <v>2037</v>
      </c>
      <c r="C23" s="196">
        <f t="shared" si="7"/>
        <v>46760.104820138171</v>
      </c>
      <c r="D23" s="172">
        <f>ROUND(C23/((1+H$9)^($B23-C$8)),0)</f>
        <v>15839</v>
      </c>
      <c r="E23" s="196">
        <f t="shared" si="8"/>
        <v>74816.167712221068</v>
      </c>
      <c r="F23" s="196">
        <f t="shared" si="1"/>
        <v>25343</v>
      </c>
      <c r="G23" s="196">
        <f t="shared" si="5"/>
        <v>-28056.062892082897</v>
      </c>
      <c r="H23" s="172">
        <f t="shared" si="6"/>
        <v>-9504</v>
      </c>
    </row>
    <row r="24" spans="1:8" x14ac:dyDescent="0.3">
      <c r="A24" s="194">
        <f>IF((B24&gt;(Inputs!$B$7+Inputs!$B$8-0)),0,IF((B24&lt;Inputs!$B$7),0,((B24-Inputs!$B$7)+0)))</f>
        <v>10</v>
      </c>
      <c r="B24" s="197">
        <f t="shared" si="4"/>
        <v>2038</v>
      </c>
      <c r="C24" s="196">
        <f t="shared" si="7"/>
        <v>46760.104820138171</v>
      </c>
      <c r="D24" s="172">
        <f t="shared" si="0"/>
        <v>14803</v>
      </c>
      <c r="E24" s="196">
        <f t="shared" si="8"/>
        <v>74816.167712221068</v>
      </c>
      <c r="F24" s="196">
        <f t="shared" si="1"/>
        <v>23685</v>
      </c>
      <c r="G24" s="196">
        <f t="shared" si="5"/>
        <v>-28056.062892082897</v>
      </c>
      <c r="H24" s="172">
        <f t="shared" si="6"/>
        <v>-8882</v>
      </c>
    </row>
    <row r="25" spans="1:8" x14ac:dyDescent="0.3">
      <c r="A25" s="194">
        <f>IF((B25&gt;(Inputs!$B$7+Inputs!$B$8-0)),0,IF((B25&lt;Inputs!$B$7),0,((B25-Inputs!$B$7)+0)))</f>
        <v>11</v>
      </c>
      <c r="B25" s="197">
        <f t="shared" si="4"/>
        <v>2039</v>
      </c>
      <c r="C25" s="196">
        <f t="shared" si="7"/>
        <v>46760.104820138171</v>
      </c>
      <c r="D25" s="172">
        <f t="shared" si="0"/>
        <v>13835</v>
      </c>
      <c r="E25" s="196">
        <f t="shared" si="8"/>
        <v>74816.167712221068</v>
      </c>
      <c r="F25" s="196">
        <f t="shared" si="1"/>
        <v>22135</v>
      </c>
      <c r="G25" s="196">
        <f t="shared" si="5"/>
        <v>-28056.062892082897</v>
      </c>
      <c r="H25" s="172">
        <f t="shared" si="6"/>
        <v>-8301</v>
      </c>
    </row>
    <row r="26" spans="1:8" x14ac:dyDescent="0.3">
      <c r="A26" s="194">
        <f>IF((B26&gt;(Inputs!$B$7+Inputs!$B$8-0)),0,IF((B26&lt;Inputs!$B$7),0,((B26-Inputs!$B$7)+0)))</f>
        <v>12</v>
      </c>
      <c r="B26" s="197">
        <f t="shared" si="4"/>
        <v>2040</v>
      </c>
      <c r="C26" s="196">
        <f>SUM(L3)</f>
        <v>7236123.1791520296</v>
      </c>
      <c r="D26" s="172">
        <f>ROUND(C26/((1+H$9)^($B26-C$8)),0)</f>
        <v>2000848</v>
      </c>
      <c r="E26" s="196">
        <f>C6</f>
        <v>2805606.2892082902</v>
      </c>
      <c r="F26" s="196">
        <f>ROUND(E26/((1+H$9)^($B26-C$8)),0)</f>
        <v>775774</v>
      </c>
      <c r="G26" s="196">
        <f>C26-E26</f>
        <v>4430516.8899437394</v>
      </c>
      <c r="H26" s="172">
        <f t="shared" si="6"/>
        <v>1225075</v>
      </c>
    </row>
    <row r="27" spans="1:8" x14ac:dyDescent="0.3">
      <c r="A27" s="194">
        <f>IF((B27&gt;(Inputs!$B$7+Inputs!$B$8-0)),0,IF((B27&lt;Inputs!$B$7),0,((B27-Inputs!$B$7)+0)))</f>
        <v>13</v>
      </c>
      <c r="B27" s="197">
        <f t="shared" si="4"/>
        <v>2041</v>
      </c>
      <c r="C27" s="196">
        <f t="shared" si="7"/>
        <v>46760.104820138171</v>
      </c>
      <c r="D27" s="172">
        <f t="shared" si="0"/>
        <v>12084</v>
      </c>
      <c r="E27" s="196">
        <f t="shared" si="8"/>
        <v>74816.167712221068</v>
      </c>
      <c r="F27" s="196">
        <f t="shared" si="1"/>
        <v>19334</v>
      </c>
      <c r="G27" s="196">
        <f t="shared" si="5"/>
        <v>-28056.062892082897</v>
      </c>
      <c r="H27" s="172">
        <f t="shared" si="6"/>
        <v>-7250</v>
      </c>
    </row>
    <row r="28" spans="1:8" x14ac:dyDescent="0.3">
      <c r="A28" s="194">
        <f>IF((B28&gt;(Inputs!$B$7+Inputs!$B$8-0)),0,IF((B28&lt;Inputs!$B$7),0,((B28-Inputs!$B$7)+0)))</f>
        <v>14</v>
      </c>
      <c r="B28" s="197">
        <f t="shared" si="4"/>
        <v>2042</v>
      </c>
      <c r="C28" s="196">
        <f t="shared" si="7"/>
        <v>46760.104820138171</v>
      </c>
      <c r="D28" s="172">
        <f t="shared" si="0"/>
        <v>11293</v>
      </c>
      <c r="E28" s="196">
        <f t="shared" si="8"/>
        <v>74816.167712221068</v>
      </c>
      <c r="F28" s="196">
        <f t="shared" si="1"/>
        <v>18069</v>
      </c>
      <c r="G28" s="196">
        <f t="shared" si="5"/>
        <v>-28056.062892082897</v>
      </c>
      <c r="H28" s="172">
        <f t="shared" si="6"/>
        <v>-6776</v>
      </c>
    </row>
    <row r="29" spans="1:8" x14ac:dyDescent="0.3">
      <c r="A29" s="194">
        <f>IF((B29&gt;(Inputs!$B$7+Inputs!$B$8-0)),0,IF((B29&lt;Inputs!$B$7),0,((B29-Inputs!$B$7)+0)))</f>
        <v>15</v>
      </c>
      <c r="B29" s="197">
        <f t="shared" si="4"/>
        <v>2043</v>
      </c>
      <c r="C29" s="196">
        <f t="shared" si="7"/>
        <v>46760.104820138171</v>
      </c>
      <c r="D29" s="172">
        <f t="shared" si="0"/>
        <v>10554</v>
      </c>
      <c r="E29" s="196">
        <f t="shared" si="8"/>
        <v>74816.167712221068</v>
      </c>
      <c r="F29" s="196">
        <f t="shared" si="1"/>
        <v>16887</v>
      </c>
      <c r="G29" s="196">
        <f t="shared" si="5"/>
        <v>-28056.062892082897</v>
      </c>
      <c r="H29" s="172">
        <f t="shared" si="6"/>
        <v>-6333</v>
      </c>
    </row>
    <row r="30" spans="1:8" x14ac:dyDescent="0.3">
      <c r="A30" s="194">
        <f>IF((B30&gt;(Inputs!$B$7+Inputs!$B$8-0)),0,IF((B30&lt;Inputs!$B$7),0,((B30-Inputs!$B$7)+0)))</f>
        <v>16</v>
      </c>
      <c r="B30" s="197">
        <f t="shared" si="4"/>
        <v>2044</v>
      </c>
      <c r="C30" s="196">
        <f t="shared" si="7"/>
        <v>46760.104820138171</v>
      </c>
      <c r="D30" s="172">
        <f t="shared" si="0"/>
        <v>9864</v>
      </c>
      <c r="E30" s="196">
        <f t="shared" si="8"/>
        <v>74816.167712221068</v>
      </c>
      <c r="F30" s="196">
        <f t="shared" si="1"/>
        <v>15782</v>
      </c>
      <c r="G30" s="196">
        <f t="shared" si="5"/>
        <v>-28056.062892082897</v>
      </c>
      <c r="H30" s="172">
        <f t="shared" si="6"/>
        <v>-5918</v>
      </c>
    </row>
    <row r="31" spans="1:8" x14ac:dyDescent="0.3">
      <c r="A31" s="194">
        <f>IF((B31&gt;(Inputs!$B$7+Inputs!$B$8-0)),0,IF((B31&lt;Inputs!$B$7),0,((B31-Inputs!$B$7)+0)))</f>
        <v>17</v>
      </c>
      <c r="B31" s="197">
        <f t="shared" ref="B31:B34" si="9">B30+1</f>
        <v>2045</v>
      </c>
      <c r="C31" s="196">
        <f>$C$3+L5</f>
        <v>170463.39834190925</v>
      </c>
      <c r="D31" s="172">
        <f t="shared" si="0"/>
        <v>33606</v>
      </c>
      <c r="E31" s="196">
        <f>$C$4+L5</f>
        <v>198519.46123399216</v>
      </c>
      <c r="F31" s="196">
        <f t="shared" si="1"/>
        <v>39137</v>
      </c>
      <c r="G31" s="196">
        <f t="shared" ref="G31:G32" si="10">C31-E31</f>
        <v>-28056.062892082904</v>
      </c>
      <c r="H31" s="172">
        <f t="shared" ref="H31:H32" si="11">ROUND(G31/((1+H$9)^($B31-C$8)),0)</f>
        <v>-5531</v>
      </c>
    </row>
    <row r="32" spans="1:8" x14ac:dyDescent="0.3">
      <c r="A32" s="194">
        <f>IF((B32&gt;(Inputs!$B$7+Inputs!$B$8-0)),0,IF((B32&lt;Inputs!$B$7),0,((B32-Inputs!$B$7)+0)))</f>
        <v>18</v>
      </c>
      <c r="B32" s="197">
        <f t="shared" si="9"/>
        <v>2046</v>
      </c>
      <c r="C32" s="196">
        <f t="shared" si="7"/>
        <v>46760.104820138171</v>
      </c>
      <c r="D32" s="172">
        <f t="shared" si="0"/>
        <v>8616</v>
      </c>
      <c r="E32" s="196">
        <f t="shared" si="8"/>
        <v>74816.167712221068</v>
      </c>
      <c r="F32" s="196">
        <f t="shared" si="1"/>
        <v>13785</v>
      </c>
      <c r="G32" s="196">
        <f t="shared" si="10"/>
        <v>-28056.062892082897</v>
      </c>
      <c r="H32" s="172">
        <f t="shared" si="11"/>
        <v>-5169</v>
      </c>
    </row>
    <row r="33" spans="1:8" x14ac:dyDescent="0.3">
      <c r="A33" s="194">
        <f>IF((B33&gt;(Inputs!$B$7+Inputs!$B$8-0)),0,IF((B33&lt;Inputs!$B$7),0,((B33-Inputs!$B$7)+0)))</f>
        <v>19</v>
      </c>
      <c r="B33" s="197">
        <f t="shared" si="9"/>
        <v>2047</v>
      </c>
      <c r="C33" s="196">
        <f t="shared" si="7"/>
        <v>46760.104820138171</v>
      </c>
      <c r="D33" s="172">
        <f t="shared" si="0"/>
        <v>8052</v>
      </c>
      <c r="E33" s="196">
        <f t="shared" si="8"/>
        <v>74816.167712221068</v>
      </c>
      <c r="F33" s="196">
        <f t="shared" si="1"/>
        <v>12883</v>
      </c>
      <c r="G33" s="196">
        <f t="shared" si="5"/>
        <v>-28056.062892082897</v>
      </c>
      <c r="H33" s="172">
        <f t="shared" si="6"/>
        <v>-4831</v>
      </c>
    </row>
    <row r="34" spans="1:8" x14ac:dyDescent="0.3">
      <c r="A34" s="194">
        <f>IF((B34&gt;(Inputs!$B$7+Inputs!$B$8-0)),0,IF((B34&lt;Inputs!$B$7),0,((B34-Inputs!$B$7)+0)))</f>
        <v>20</v>
      </c>
      <c r="B34" s="197">
        <f t="shared" si="9"/>
        <v>2048</v>
      </c>
      <c r="C34" s="397">
        <f>$C$3*Inputs!$B$12</f>
        <v>23380.052410069085</v>
      </c>
      <c r="D34" s="172">
        <f t="shared" ref="D34" si="12">ROUND(C34/((1+H$9)^($B34-C$8)),0)</f>
        <v>3763</v>
      </c>
      <c r="E34" s="397">
        <f>$C$4*Inputs!$B$12</f>
        <v>37408.083856110534</v>
      </c>
      <c r="F34" s="196">
        <f t="shared" ref="F34" si="13">ROUND(E34/((1+H$9)^($B34-C$8)),0)</f>
        <v>6020</v>
      </c>
      <c r="G34" s="196">
        <f t="shared" ref="G34" si="14">C34-E34</f>
        <v>-14028.031446041448</v>
      </c>
      <c r="H34" s="172">
        <f t="shared" ref="H34" si="15">ROUND(G34/((1+H$9)^($B34-C$8)),0)</f>
        <v>-2258</v>
      </c>
    </row>
    <row r="35" spans="1:8" x14ac:dyDescent="0.3">
      <c r="A35" s="171"/>
      <c r="B35" s="171" t="s">
        <v>135</v>
      </c>
      <c r="C35" s="198">
        <f>SUM(C11:C34)</f>
        <v>18426782.438858453</v>
      </c>
      <c r="D35" s="198">
        <f t="shared" ref="D35:H35" si="16">SUM(D11:D34)</f>
        <v>10096739</v>
      </c>
      <c r="E35" s="198">
        <f t="shared" si="16"/>
        <v>4350816.7692622608</v>
      </c>
      <c r="F35" s="198">
        <f t="shared" si="16"/>
        <v>1290344</v>
      </c>
      <c r="G35" s="198">
        <f t="shared" si="16"/>
        <v>14075965.66959618</v>
      </c>
      <c r="H35" s="198">
        <f t="shared" si="16"/>
        <v>8806396</v>
      </c>
    </row>
  </sheetData>
  <phoneticPr fontId="47"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Y45"/>
  <sheetViews>
    <sheetView zoomScale="85" zoomScaleNormal="85" workbookViewId="0">
      <selection activeCell="O26" sqref="O26"/>
    </sheetView>
  </sheetViews>
  <sheetFormatPr defaultColWidth="9.33203125" defaultRowHeight="14.4" x14ac:dyDescent="0.3"/>
  <cols>
    <col min="2" max="2" width="16.5546875" customWidth="1"/>
    <col min="3" max="3" width="11" customWidth="1"/>
    <col min="4" max="8" width="12.33203125" customWidth="1"/>
    <col min="9" max="9" width="15" customWidth="1"/>
    <col min="10" max="10" width="16.33203125" bestFit="1" customWidth="1"/>
    <col min="11" max="11" width="9.33203125" customWidth="1"/>
    <col min="12" max="13" width="10" customWidth="1"/>
    <col min="14" max="14" width="12.33203125" customWidth="1"/>
    <col min="15" max="15" width="10" customWidth="1"/>
    <col min="16" max="16" width="11.33203125" customWidth="1"/>
    <col min="17" max="17" width="10" customWidth="1"/>
    <col min="18" max="18" width="13.44140625" customWidth="1"/>
    <col min="19" max="20" width="10.33203125" customWidth="1"/>
    <col min="21" max="21" width="10.5546875" customWidth="1"/>
    <col min="22" max="22" width="13.33203125" customWidth="1"/>
    <col min="23" max="23" width="13.44140625" customWidth="1"/>
    <col min="24" max="24" width="11.6640625" customWidth="1"/>
    <col min="25" max="25" width="12.6640625" customWidth="1"/>
    <col min="26" max="36" width="18.6640625" customWidth="1"/>
  </cols>
  <sheetData>
    <row r="1" spans="1:25" x14ac:dyDescent="0.3">
      <c r="A1" s="16"/>
      <c r="B1" s="5" t="s">
        <v>155</v>
      </c>
      <c r="C1" s="3"/>
      <c r="D1" s="3"/>
      <c r="E1" s="3"/>
      <c r="F1" s="3"/>
      <c r="G1" s="3"/>
      <c r="H1" s="3"/>
      <c r="I1" s="3"/>
      <c r="J1" s="3"/>
      <c r="K1" s="16"/>
      <c r="L1" s="16"/>
      <c r="M1" s="16"/>
      <c r="N1" s="16"/>
      <c r="O1" s="16"/>
      <c r="P1" s="16"/>
      <c r="Q1" s="16"/>
      <c r="R1" s="16"/>
      <c r="S1" s="16"/>
      <c r="T1" s="16"/>
      <c r="U1" s="16"/>
      <c r="V1" s="16"/>
      <c r="W1" s="16"/>
      <c r="X1" s="16"/>
      <c r="Y1" s="16"/>
    </row>
    <row r="2" spans="1:25" x14ac:dyDescent="0.3">
      <c r="A2" s="16"/>
      <c r="B2" s="3" t="s">
        <v>156</v>
      </c>
      <c r="C2" s="3"/>
      <c r="D2" s="3"/>
      <c r="E2" s="3"/>
      <c r="F2" s="3"/>
      <c r="G2" s="3"/>
      <c r="H2" s="5" t="s">
        <v>157</v>
      </c>
      <c r="I2" s="3"/>
      <c r="J2" s="148" t="s">
        <v>141</v>
      </c>
      <c r="K2" s="16"/>
      <c r="L2" s="16"/>
      <c r="M2" s="16"/>
      <c r="N2" s="16"/>
      <c r="O2" s="16"/>
      <c r="P2" s="16"/>
      <c r="Q2" s="16"/>
      <c r="R2" s="16"/>
      <c r="S2" s="16"/>
      <c r="T2" s="16"/>
      <c r="U2" s="16"/>
      <c r="V2" s="16"/>
      <c r="W2" s="16"/>
      <c r="X2" s="16"/>
      <c r="Y2" s="16"/>
    </row>
    <row r="3" spans="1:25" x14ac:dyDescent="0.3">
      <c r="A3" s="16"/>
      <c r="B3" s="3"/>
      <c r="C3" s="3"/>
      <c r="D3" s="3"/>
      <c r="E3" s="3"/>
      <c r="F3" s="3"/>
      <c r="G3" s="3"/>
      <c r="H3" s="3" t="str">
        <f>Inputs!A48</f>
        <v>Injury crash (2021$)</v>
      </c>
      <c r="I3" s="3"/>
      <c r="J3" s="189">
        <f>Inputs!B48</f>
        <v>307800</v>
      </c>
      <c r="K3" s="16"/>
      <c r="L3" t="s">
        <v>158</v>
      </c>
      <c r="M3" t="s">
        <v>159</v>
      </c>
      <c r="P3" s="16"/>
      <c r="Q3" s="16"/>
      <c r="R3" s="16"/>
      <c r="S3" s="16"/>
      <c r="T3" s="16"/>
      <c r="U3" s="16"/>
      <c r="V3" s="16"/>
      <c r="W3" s="16"/>
      <c r="X3" s="16"/>
      <c r="Y3" s="16"/>
    </row>
    <row r="4" spans="1:25" x14ac:dyDescent="0.3">
      <c r="A4" s="16"/>
      <c r="B4" s="3" t="s">
        <v>160</v>
      </c>
      <c r="C4" s="3">
        <v>2023</v>
      </c>
      <c r="D4" s="3"/>
      <c r="E4" s="3"/>
      <c r="F4" s="3"/>
      <c r="G4" s="3"/>
      <c r="H4" s="3" t="str">
        <f>Inputs!A49</f>
        <v>Fatal crash (2021$)</v>
      </c>
      <c r="I4" s="3"/>
      <c r="J4" s="189">
        <f>Inputs!B49</f>
        <v>13046800</v>
      </c>
      <c r="K4" s="16"/>
      <c r="L4">
        <v>0.75</v>
      </c>
      <c r="M4" t="s">
        <v>161</v>
      </c>
      <c r="P4" s="16"/>
      <c r="Q4" s="16"/>
      <c r="R4" s="16"/>
      <c r="S4" s="16"/>
      <c r="T4" s="16"/>
      <c r="U4" s="16"/>
      <c r="V4" s="16"/>
      <c r="W4" s="16"/>
      <c r="X4" s="16"/>
      <c r="Y4" s="16"/>
    </row>
    <row r="5" spans="1:25" x14ac:dyDescent="0.3">
      <c r="A5" s="16"/>
      <c r="B5" s="3" t="s">
        <v>131</v>
      </c>
      <c r="C5" s="3">
        <f>Inputs!B10</f>
        <v>2021</v>
      </c>
      <c r="D5" s="3"/>
      <c r="E5" s="3"/>
      <c r="F5" s="3"/>
      <c r="G5" s="3"/>
      <c r="H5" s="3" t="str">
        <f>Inputs!A40</f>
        <v>PDO Damage values (2021$)</v>
      </c>
      <c r="I5" s="3"/>
      <c r="J5" s="146">
        <f>Inputs!B40</f>
        <v>4800</v>
      </c>
      <c r="K5" s="16"/>
      <c r="L5">
        <v>0.86</v>
      </c>
      <c r="M5" t="s">
        <v>162</v>
      </c>
      <c r="P5" s="16"/>
      <c r="Q5" s="16"/>
      <c r="R5" s="16"/>
      <c r="S5" s="16"/>
      <c r="T5" s="16"/>
      <c r="U5" s="16"/>
      <c r="V5" s="16"/>
      <c r="W5" s="16"/>
      <c r="X5" s="16"/>
      <c r="Y5" s="16"/>
    </row>
    <row r="6" spans="1:25" x14ac:dyDescent="0.3">
      <c r="A6" s="16"/>
      <c r="B6" s="3" t="s">
        <v>163</v>
      </c>
      <c r="C6" s="168">
        <f>Inputs!B3</f>
        <v>7.0000000000000007E-2</v>
      </c>
      <c r="D6" s="3"/>
      <c r="E6" s="3"/>
      <c r="F6" s="3"/>
      <c r="G6" s="3"/>
      <c r="H6" s="190" t="s">
        <v>164</v>
      </c>
      <c r="I6" s="3"/>
      <c r="J6" s="189">
        <f>Inputs!B41</f>
        <v>4000</v>
      </c>
      <c r="K6" s="16"/>
      <c r="L6">
        <f>SUM(L5*L4)</f>
        <v>0.64500000000000002</v>
      </c>
      <c r="M6" t="s">
        <v>165</v>
      </c>
      <c r="P6" s="16"/>
      <c r="Q6" s="16"/>
      <c r="R6" s="16"/>
      <c r="S6" s="16"/>
      <c r="T6" s="16"/>
      <c r="U6" s="16"/>
      <c r="V6" s="16"/>
      <c r="W6" s="16"/>
      <c r="X6" s="16"/>
      <c r="Y6" s="16"/>
    </row>
    <row r="7" spans="1:25" x14ac:dyDescent="0.3">
      <c r="A7" s="16"/>
      <c r="B7" s="3" t="str">
        <f>Inputs!A17</f>
        <v>Annual Growth Rate (CAGR)</v>
      </c>
      <c r="C7" s="191">
        <f>Inputs!B17</f>
        <v>3.1744892994098661E-2</v>
      </c>
      <c r="D7" s="3"/>
      <c r="E7" s="3"/>
      <c r="F7" s="3"/>
      <c r="G7" s="3"/>
      <c r="H7" s="190" t="s">
        <v>166</v>
      </c>
      <c r="I7" s="3"/>
      <c r="J7" s="189">
        <f>Inputs!B42</f>
        <v>78500</v>
      </c>
      <c r="K7" s="16"/>
      <c r="L7" s="16"/>
      <c r="M7" s="16"/>
      <c r="N7" s="16"/>
      <c r="O7" s="16"/>
      <c r="P7" s="16"/>
      <c r="Q7" s="16"/>
      <c r="R7" s="16"/>
      <c r="S7" s="16"/>
      <c r="T7" s="16"/>
      <c r="U7" s="16"/>
      <c r="V7" s="16"/>
      <c r="W7" s="16"/>
      <c r="X7" s="16"/>
      <c r="Y7" s="16"/>
    </row>
    <row r="8" spans="1:25" x14ac:dyDescent="0.3">
      <c r="A8" s="16"/>
      <c r="B8" s="3"/>
      <c r="C8" s="3"/>
      <c r="D8" s="3"/>
      <c r="E8" s="3"/>
      <c r="F8" s="3"/>
      <c r="G8" s="3"/>
      <c r="H8" s="190" t="s">
        <v>167</v>
      </c>
      <c r="I8" s="3"/>
      <c r="J8" s="189">
        <f>Inputs!B43</f>
        <v>153700</v>
      </c>
      <c r="K8" s="16"/>
      <c r="L8" s="16"/>
      <c r="M8" s="16"/>
      <c r="N8" s="16"/>
      <c r="O8" s="16"/>
      <c r="P8" s="16"/>
      <c r="Q8" s="16"/>
      <c r="R8" s="16"/>
      <c r="S8" s="16"/>
      <c r="T8" s="16"/>
      <c r="U8" s="16"/>
      <c r="V8" s="16"/>
      <c r="W8" s="16"/>
      <c r="X8" s="16"/>
      <c r="Y8" s="16"/>
    </row>
    <row r="9" spans="1:25" x14ac:dyDescent="0.3">
      <c r="A9" s="16"/>
      <c r="B9" s="3"/>
      <c r="C9" s="3"/>
      <c r="D9" s="3"/>
      <c r="E9" s="3"/>
      <c r="F9" s="3"/>
      <c r="G9" s="3"/>
      <c r="H9" s="190" t="s">
        <v>168</v>
      </c>
      <c r="I9" s="3"/>
      <c r="J9" s="189">
        <f>Inputs!B44</f>
        <v>564300</v>
      </c>
      <c r="K9" s="16"/>
      <c r="L9" s="16"/>
      <c r="M9" s="16"/>
      <c r="N9" s="16"/>
      <c r="O9" s="16"/>
      <c r="P9" s="16"/>
      <c r="Q9" s="16"/>
      <c r="R9" s="16"/>
      <c r="S9" s="16"/>
      <c r="T9" s="16"/>
      <c r="U9" s="16"/>
      <c r="V9" s="16"/>
      <c r="W9" s="16"/>
      <c r="X9" s="16"/>
      <c r="Y9" s="16"/>
    </row>
    <row r="10" spans="1:25" x14ac:dyDescent="0.3">
      <c r="A10" s="16"/>
      <c r="B10" s="3"/>
      <c r="C10" s="3"/>
      <c r="D10" s="3"/>
      <c r="E10" s="3"/>
      <c r="F10" s="3"/>
      <c r="G10" s="3"/>
      <c r="H10" s="190" t="s">
        <v>169</v>
      </c>
      <c r="I10" s="3"/>
      <c r="J10" s="189">
        <f>Inputs!B45</f>
        <v>11800000</v>
      </c>
      <c r="K10" s="16"/>
      <c r="L10" s="16"/>
      <c r="M10" s="16"/>
      <c r="N10" s="16"/>
      <c r="O10" s="16"/>
      <c r="P10" s="16"/>
      <c r="Q10" s="16"/>
      <c r="R10" s="16"/>
      <c r="S10" s="16"/>
      <c r="T10" s="16"/>
      <c r="U10" s="16"/>
      <c r="V10" s="16"/>
      <c r="W10" s="16"/>
      <c r="X10" s="16"/>
      <c r="Y10" s="16"/>
    </row>
    <row r="11" spans="1:25" x14ac:dyDescent="0.3">
      <c r="A11" s="16"/>
      <c r="B11" s="5" t="s">
        <v>170</v>
      </c>
      <c r="C11" s="3"/>
      <c r="D11" s="3"/>
      <c r="E11" s="3"/>
      <c r="F11" s="3"/>
      <c r="G11" s="3"/>
      <c r="H11" s="190" t="s">
        <v>171</v>
      </c>
      <c r="I11" s="3"/>
      <c r="J11" s="189">
        <f>Inputs!B46</f>
        <v>213900</v>
      </c>
      <c r="K11" s="16"/>
      <c r="L11" s="16"/>
      <c r="M11" s="16"/>
      <c r="N11" s="16"/>
      <c r="O11" s="16"/>
      <c r="P11" s="16"/>
      <c r="Q11" s="16"/>
      <c r="R11" s="16"/>
      <c r="S11" s="16"/>
      <c r="T11" s="16"/>
      <c r="U11" s="16"/>
      <c r="V11" s="16"/>
      <c r="W11" s="16"/>
      <c r="X11" s="16"/>
      <c r="Y11" s="16"/>
    </row>
    <row r="12" spans="1:25" x14ac:dyDescent="0.3">
      <c r="A12" s="16"/>
      <c r="B12" s="440" t="s">
        <v>866</v>
      </c>
      <c r="C12" s="3"/>
      <c r="D12" s="3"/>
      <c r="E12" s="3"/>
      <c r="F12" s="3"/>
      <c r="G12" s="3"/>
      <c r="H12" s="190" t="s">
        <v>172</v>
      </c>
      <c r="I12" s="3"/>
      <c r="J12" s="189">
        <f>Inputs!B47</f>
        <v>162600</v>
      </c>
      <c r="K12" s="16"/>
      <c r="L12" s="16"/>
      <c r="M12" s="16"/>
      <c r="N12" s="16"/>
      <c r="O12" s="16"/>
      <c r="P12" s="16"/>
      <c r="Q12" s="16"/>
      <c r="R12" s="16"/>
      <c r="S12" s="16"/>
      <c r="T12" s="16"/>
      <c r="U12" s="16"/>
      <c r="V12" s="16"/>
      <c r="W12" s="16"/>
      <c r="X12" s="16"/>
      <c r="Y12" s="16"/>
    </row>
    <row r="13" spans="1:25" x14ac:dyDescent="0.3">
      <c r="A13" s="16"/>
      <c r="B13" s="16"/>
      <c r="C13" s="16"/>
      <c r="D13" s="16"/>
      <c r="E13" s="71"/>
      <c r="F13" s="71"/>
      <c r="G13" s="71"/>
      <c r="H13" s="71"/>
      <c r="I13" s="71"/>
      <c r="J13" s="71"/>
      <c r="K13" s="165"/>
      <c r="L13" s="471" t="s">
        <v>173</v>
      </c>
      <c r="M13" s="471"/>
      <c r="N13" s="471"/>
      <c r="O13" s="471"/>
      <c r="P13" s="471"/>
      <c r="Q13" s="471"/>
      <c r="R13" s="471"/>
      <c r="S13" s="471" t="s">
        <v>174</v>
      </c>
      <c r="T13" s="471"/>
      <c r="U13" s="471"/>
      <c r="V13" s="471"/>
      <c r="W13" s="471"/>
      <c r="X13" s="471"/>
      <c r="Y13" s="471"/>
    </row>
    <row r="14" spans="1:25" s="31" customFormat="1" ht="45.75" customHeight="1" x14ac:dyDescent="0.3">
      <c r="A14" s="27" t="s">
        <v>175</v>
      </c>
      <c r="B14" s="159" t="s">
        <v>176</v>
      </c>
      <c r="C14" s="159" t="s">
        <v>177</v>
      </c>
      <c r="D14" s="160" t="s">
        <v>178</v>
      </c>
      <c r="E14" s="160" t="s">
        <v>179</v>
      </c>
      <c r="F14" s="160" t="s">
        <v>180</v>
      </c>
      <c r="G14" s="160" t="s">
        <v>181</v>
      </c>
      <c r="H14" s="160" t="s">
        <v>182</v>
      </c>
      <c r="I14" s="160" t="s">
        <v>183</v>
      </c>
      <c r="J14" s="72"/>
      <c r="K14" s="160" t="s">
        <v>185</v>
      </c>
      <c r="L14" s="160" t="s">
        <v>179</v>
      </c>
      <c r="M14" s="160" t="s">
        <v>180</v>
      </c>
      <c r="N14" s="160" t="s">
        <v>181</v>
      </c>
      <c r="O14" s="160" t="s">
        <v>182</v>
      </c>
      <c r="P14" s="160" t="s">
        <v>183</v>
      </c>
      <c r="Q14" s="160" t="s">
        <v>184</v>
      </c>
      <c r="R14" s="160" t="s">
        <v>186</v>
      </c>
      <c r="S14" s="160" t="s">
        <v>179</v>
      </c>
      <c r="T14" s="160" t="s">
        <v>180</v>
      </c>
      <c r="U14" s="160" t="s">
        <v>181</v>
      </c>
      <c r="V14" s="160" t="s">
        <v>182</v>
      </c>
      <c r="W14" s="160" t="s">
        <v>183</v>
      </c>
      <c r="X14" s="160" t="s">
        <v>184</v>
      </c>
      <c r="Y14" s="160" t="s">
        <v>187</v>
      </c>
    </row>
    <row r="15" spans="1:25" s="4" customFormat="1" ht="28.8" x14ac:dyDescent="0.3">
      <c r="A15" s="161" t="s">
        <v>188</v>
      </c>
      <c r="B15" s="162">
        <v>38</v>
      </c>
      <c r="C15" s="162" t="s">
        <v>189</v>
      </c>
      <c r="D15" s="163" t="s">
        <v>190</v>
      </c>
      <c r="E15" s="164">
        <v>1</v>
      </c>
      <c r="F15" s="164">
        <v>8</v>
      </c>
      <c r="G15" s="164">
        <v>8</v>
      </c>
      <c r="H15" s="164">
        <v>16</v>
      </c>
      <c r="I15" s="164">
        <v>71</v>
      </c>
      <c r="J15" s="73"/>
      <c r="K15" s="164">
        <f>SUM(E15:J15)</f>
        <v>104</v>
      </c>
      <c r="L15" s="164">
        <f t="shared" ref="L15:Q17" si="0">E15/5</f>
        <v>0.2</v>
      </c>
      <c r="M15" s="164">
        <f t="shared" si="0"/>
        <v>1.6</v>
      </c>
      <c r="N15" s="164">
        <f t="shared" si="0"/>
        <v>1.6</v>
      </c>
      <c r="O15" s="164">
        <f t="shared" si="0"/>
        <v>3.2</v>
      </c>
      <c r="P15" s="164">
        <f t="shared" si="0"/>
        <v>14.2</v>
      </c>
      <c r="Q15" s="164">
        <f t="shared" si="0"/>
        <v>0</v>
      </c>
      <c r="R15" s="164">
        <f>SUM(L15:Q15)</f>
        <v>20.8</v>
      </c>
      <c r="S15" s="161">
        <f>L15*(1-$L$6)</f>
        <v>7.0999999999999994E-2</v>
      </c>
      <c r="T15" s="161">
        <f t="shared" ref="S15:X17" si="1">M15*(1-$L$6)</f>
        <v>0.56799999999999995</v>
      </c>
      <c r="U15" s="166">
        <f t="shared" si="1"/>
        <v>0.56799999999999995</v>
      </c>
      <c r="V15" s="161">
        <f t="shared" si="1"/>
        <v>1.1359999999999999</v>
      </c>
      <c r="W15" s="161">
        <f t="shared" si="1"/>
        <v>5.0409999999999995</v>
      </c>
      <c r="X15" s="161">
        <f t="shared" si="1"/>
        <v>0</v>
      </c>
      <c r="Y15" s="161">
        <f>SUM(S15:X15)</f>
        <v>7.3839999999999995</v>
      </c>
    </row>
    <row r="16" spans="1:25" s="4" customFormat="1" ht="28.8" x14ac:dyDescent="0.3">
      <c r="A16" s="161" t="s">
        <v>188</v>
      </c>
      <c r="B16" s="162">
        <v>38</v>
      </c>
      <c r="C16" s="162" t="s">
        <v>191</v>
      </c>
      <c r="D16" s="163" t="s">
        <v>192</v>
      </c>
      <c r="E16" s="164">
        <v>1</v>
      </c>
      <c r="F16" s="164">
        <v>2</v>
      </c>
      <c r="G16" s="164">
        <v>7</v>
      </c>
      <c r="H16" s="164">
        <v>9</v>
      </c>
      <c r="I16" s="164">
        <v>27</v>
      </c>
      <c r="J16" s="73"/>
      <c r="K16" s="164">
        <v>46</v>
      </c>
      <c r="L16" s="164">
        <f t="shared" si="0"/>
        <v>0.2</v>
      </c>
      <c r="M16" s="164">
        <f t="shared" si="0"/>
        <v>0.4</v>
      </c>
      <c r="N16" s="164">
        <f t="shared" si="0"/>
        <v>1.4</v>
      </c>
      <c r="O16" s="164">
        <f t="shared" si="0"/>
        <v>1.8</v>
      </c>
      <c r="P16" s="164">
        <f t="shared" si="0"/>
        <v>5.4</v>
      </c>
      <c r="Q16" s="164">
        <f t="shared" si="0"/>
        <v>0</v>
      </c>
      <c r="R16" s="164">
        <f>SUM(L16:Q16)</f>
        <v>9.1999999999999993</v>
      </c>
      <c r="S16" s="161">
        <f t="shared" si="1"/>
        <v>7.0999999999999994E-2</v>
      </c>
      <c r="T16" s="161">
        <f t="shared" si="1"/>
        <v>0.14199999999999999</v>
      </c>
      <c r="U16" s="166">
        <f t="shared" si="1"/>
        <v>0.49699999999999994</v>
      </c>
      <c r="V16" s="161">
        <f>O16*(1-$L$6)</f>
        <v>0.63900000000000001</v>
      </c>
      <c r="W16" s="161">
        <f t="shared" si="1"/>
        <v>1.917</v>
      </c>
      <c r="X16" s="161">
        <f t="shared" si="1"/>
        <v>0</v>
      </c>
      <c r="Y16" s="161">
        <f>SUM(S16:X16)</f>
        <v>3.266</v>
      </c>
    </row>
    <row r="17" spans="1:25" s="4" customFormat="1" ht="28.8" x14ac:dyDescent="0.3">
      <c r="A17" s="161" t="s">
        <v>188</v>
      </c>
      <c r="B17" s="162">
        <v>38</v>
      </c>
      <c r="C17" s="162" t="s">
        <v>193</v>
      </c>
      <c r="D17" s="163" t="s">
        <v>194</v>
      </c>
      <c r="E17" s="164">
        <v>2</v>
      </c>
      <c r="F17" s="164">
        <v>3</v>
      </c>
      <c r="G17" s="164">
        <v>10</v>
      </c>
      <c r="H17" s="164">
        <v>14</v>
      </c>
      <c r="I17" s="164">
        <v>86</v>
      </c>
      <c r="J17" s="73"/>
      <c r="K17" s="164">
        <v>115</v>
      </c>
      <c r="L17" s="164">
        <f t="shared" si="0"/>
        <v>0.4</v>
      </c>
      <c r="M17" s="164">
        <f t="shared" si="0"/>
        <v>0.6</v>
      </c>
      <c r="N17" s="164">
        <f t="shared" si="0"/>
        <v>2</v>
      </c>
      <c r="O17" s="164">
        <f t="shared" si="0"/>
        <v>2.8</v>
      </c>
      <c r="P17" s="164">
        <f t="shared" si="0"/>
        <v>17.2</v>
      </c>
      <c r="Q17" s="164">
        <f t="shared" si="0"/>
        <v>0</v>
      </c>
      <c r="R17" s="164">
        <f>SUM(L17:Q17)</f>
        <v>23</v>
      </c>
      <c r="S17" s="161">
        <f t="shared" si="1"/>
        <v>0.14199999999999999</v>
      </c>
      <c r="T17" s="161">
        <f t="shared" si="1"/>
        <v>0.21299999999999999</v>
      </c>
      <c r="U17" s="166">
        <f t="shared" si="1"/>
        <v>0.71</v>
      </c>
      <c r="V17" s="161">
        <f t="shared" si="1"/>
        <v>0.99399999999999988</v>
      </c>
      <c r="W17" s="161">
        <f>P17*(1-$L$6)</f>
        <v>6.1059999999999999</v>
      </c>
      <c r="X17" s="161">
        <f t="shared" si="1"/>
        <v>0</v>
      </c>
      <c r="Y17" s="161">
        <f>SUM(S17:X17)</f>
        <v>8.1649999999999991</v>
      </c>
    </row>
    <row r="18" spans="1:25" s="4" customFormat="1" x14ac:dyDescent="0.3">
      <c r="A18" s="161"/>
      <c r="B18" s="161"/>
      <c r="C18" s="161"/>
      <c r="D18" s="164"/>
      <c r="E18" s="164">
        <f>SUM(E15:E17)</f>
        <v>4</v>
      </c>
      <c r="F18" s="164">
        <f>SUM(F15:F17)</f>
        <v>13</v>
      </c>
      <c r="G18" s="164">
        <f t="shared" ref="G18:K18" si="2">SUM(G15:G17)</f>
        <v>25</v>
      </c>
      <c r="H18" s="164">
        <f t="shared" si="2"/>
        <v>39</v>
      </c>
      <c r="I18" s="164">
        <f t="shared" si="2"/>
        <v>184</v>
      </c>
      <c r="J18" s="73"/>
      <c r="K18" s="164">
        <f t="shared" si="2"/>
        <v>265</v>
      </c>
      <c r="L18" s="164">
        <f t="shared" ref="L18:Y18" si="3">SUM(L15:L17)</f>
        <v>0.8</v>
      </c>
      <c r="M18" s="164">
        <f t="shared" si="3"/>
        <v>2.6</v>
      </c>
      <c r="N18" s="164">
        <f t="shared" si="3"/>
        <v>5</v>
      </c>
      <c r="O18" s="164">
        <f t="shared" si="3"/>
        <v>7.8</v>
      </c>
      <c r="P18" s="164">
        <f t="shared" si="3"/>
        <v>36.799999999999997</v>
      </c>
      <c r="Q18" s="164">
        <f t="shared" si="3"/>
        <v>0</v>
      </c>
      <c r="R18" s="164">
        <f t="shared" si="3"/>
        <v>53</v>
      </c>
      <c r="S18" s="164">
        <f>SUM(S15:S17)</f>
        <v>0.28399999999999997</v>
      </c>
      <c r="T18" s="164">
        <f t="shared" si="3"/>
        <v>0.92299999999999993</v>
      </c>
      <c r="U18" s="164">
        <f t="shared" si="3"/>
        <v>1.7749999999999999</v>
      </c>
      <c r="V18" s="164">
        <f t="shared" si="3"/>
        <v>2.7689999999999997</v>
      </c>
      <c r="W18" s="164">
        <f t="shared" si="3"/>
        <v>13.064</v>
      </c>
      <c r="X18" s="164">
        <f t="shared" si="3"/>
        <v>0</v>
      </c>
      <c r="Y18" s="164">
        <f t="shared" si="3"/>
        <v>18.814999999999998</v>
      </c>
    </row>
    <row r="19" spans="1:25" x14ac:dyDescent="0.3">
      <c r="A19" s="3"/>
      <c r="B19" s="3" t="s">
        <v>195</v>
      </c>
      <c r="C19" s="3"/>
      <c r="D19" s="3"/>
      <c r="E19" s="3"/>
      <c r="F19" s="3"/>
      <c r="G19" s="3"/>
      <c r="H19" s="3"/>
      <c r="I19" s="3"/>
      <c r="J19" s="16"/>
      <c r="K19" s="16"/>
      <c r="L19" s="16"/>
      <c r="M19" s="16"/>
      <c r="N19" s="16"/>
      <c r="O19" s="16"/>
      <c r="P19" s="16"/>
      <c r="Q19" s="16"/>
      <c r="R19" s="16"/>
      <c r="S19" s="16"/>
      <c r="T19" s="16"/>
      <c r="U19" s="16"/>
      <c r="V19" s="16"/>
      <c r="W19" s="16"/>
      <c r="X19" s="16"/>
      <c r="Y19" s="16"/>
    </row>
    <row r="20" spans="1:25" x14ac:dyDescent="0.3">
      <c r="A20" s="16"/>
      <c r="B20" s="3" t="s">
        <v>876</v>
      </c>
      <c r="C20" s="16"/>
      <c r="D20" s="16"/>
      <c r="E20" s="16"/>
      <c r="F20" s="16"/>
      <c r="G20" s="16"/>
      <c r="H20" s="16"/>
      <c r="I20" s="16"/>
      <c r="J20" s="16"/>
      <c r="K20" s="16"/>
      <c r="L20" s="16"/>
      <c r="M20" s="16"/>
      <c r="N20" s="16"/>
      <c r="O20" s="16"/>
      <c r="P20" s="16"/>
      <c r="Q20" s="16"/>
      <c r="R20" s="16"/>
      <c r="S20" s="16"/>
      <c r="T20" s="16"/>
      <c r="U20" s="16"/>
      <c r="V20" s="16"/>
      <c r="W20" s="16"/>
      <c r="X20" s="16"/>
      <c r="Y20" s="16"/>
    </row>
    <row r="21" spans="1:25" x14ac:dyDescent="0.3">
      <c r="A21" s="16"/>
      <c r="B21" s="16"/>
      <c r="C21" s="16"/>
      <c r="D21" s="16"/>
      <c r="E21" s="16"/>
      <c r="F21" s="16"/>
      <c r="G21" s="16"/>
      <c r="H21" s="16"/>
      <c r="I21" s="16"/>
      <c r="J21" s="16"/>
      <c r="K21" s="16"/>
      <c r="L21" s="16"/>
      <c r="M21" s="16"/>
      <c r="N21" s="16"/>
      <c r="O21" s="16"/>
      <c r="P21" s="16"/>
      <c r="Q21" s="16"/>
      <c r="R21" s="16"/>
      <c r="S21" s="16"/>
      <c r="T21" s="16"/>
      <c r="U21" s="16"/>
      <c r="V21" s="16"/>
      <c r="W21" s="16"/>
      <c r="X21" s="16"/>
      <c r="Y21" s="16"/>
    </row>
    <row r="22" spans="1:25" x14ac:dyDescent="0.3">
      <c r="A22" s="3"/>
      <c r="B22" s="3"/>
      <c r="C22" s="475" t="s">
        <v>196</v>
      </c>
      <c r="D22" s="475"/>
      <c r="E22" s="475"/>
      <c r="F22" s="475"/>
      <c r="G22" s="475"/>
      <c r="H22" s="475"/>
      <c r="I22" s="168"/>
      <c r="J22" s="3"/>
      <c r="K22" s="16"/>
      <c r="L22" s="16"/>
      <c r="M22" s="16"/>
      <c r="N22" s="16"/>
      <c r="O22" s="16"/>
      <c r="P22" s="16"/>
      <c r="Q22" s="16"/>
      <c r="R22" s="16"/>
      <c r="S22" s="16"/>
      <c r="T22" s="16"/>
      <c r="U22" s="16"/>
      <c r="V22" s="16"/>
      <c r="W22" s="16"/>
      <c r="X22" s="16"/>
      <c r="Y22" s="16"/>
    </row>
    <row r="23" spans="1:25" ht="28.8" x14ac:dyDescent="0.3">
      <c r="A23" s="169" t="s">
        <v>132</v>
      </c>
      <c r="B23" s="18" t="s">
        <v>133</v>
      </c>
      <c r="C23" s="170" t="s">
        <v>197</v>
      </c>
      <c r="D23" s="170" t="s">
        <v>198</v>
      </c>
      <c r="E23" s="18" t="s">
        <v>199</v>
      </c>
      <c r="F23" s="18" t="s">
        <v>200</v>
      </c>
      <c r="G23" s="18" t="s">
        <v>201</v>
      </c>
      <c r="H23" s="18" t="s">
        <v>202</v>
      </c>
      <c r="I23" s="170" t="s">
        <v>135</v>
      </c>
      <c r="J23" s="170" t="s">
        <v>134</v>
      </c>
      <c r="K23" s="16"/>
      <c r="L23" s="16"/>
      <c r="M23" s="16"/>
      <c r="N23" s="16"/>
      <c r="O23" s="16"/>
      <c r="P23" s="16"/>
      <c r="Q23" s="16"/>
      <c r="R23" s="16"/>
      <c r="S23" s="16"/>
      <c r="T23" s="16"/>
      <c r="U23" s="16"/>
      <c r="V23" s="16"/>
      <c r="W23" s="16"/>
      <c r="X23" s="16"/>
      <c r="Y23" s="16"/>
    </row>
    <row r="24" spans="1:25" x14ac:dyDescent="0.3">
      <c r="A24" s="3">
        <f>IF((B24&gt;(Inputs!$B$7+Inputs!$B$8)),0,IF((B24&lt;Inputs!$B$7),0,((B24-Inputs!$B$7))))</f>
        <v>0</v>
      </c>
      <c r="B24" s="171">
        <f>Inputs!B11</f>
        <v>2028</v>
      </c>
      <c r="C24" s="439">
        <f>SUM(S18*$J$4)</f>
        <v>3705291.1999999997</v>
      </c>
      <c r="D24" s="439">
        <f>SUM(T18*J9)</f>
        <v>520848.89999999997</v>
      </c>
      <c r="E24" s="439">
        <f>SUM(U18*J3)</f>
        <v>546345</v>
      </c>
      <c r="F24" s="439">
        <f>SUM(V18*J7)</f>
        <v>217366.49999999997</v>
      </c>
      <c r="G24" s="439">
        <f>SUM(W18*J5)</f>
        <v>62707.199999999997</v>
      </c>
      <c r="H24" s="439">
        <f>SUM(X18*J11)</f>
        <v>0</v>
      </c>
      <c r="I24" s="323">
        <f>SUM(C24:H24)*Inputs!$B$12</f>
        <v>2526279.4</v>
      </c>
      <c r="J24" s="439">
        <f>I24/(1+$C$6)^(B24-$C$5)</f>
        <v>1573239.8442783596</v>
      </c>
      <c r="K24" s="16"/>
      <c r="L24" s="16"/>
      <c r="M24" s="16"/>
      <c r="N24" s="16"/>
      <c r="O24" s="16"/>
      <c r="P24" s="16"/>
      <c r="Q24" s="16"/>
      <c r="R24" s="16"/>
      <c r="S24" s="16"/>
      <c r="T24" s="16"/>
      <c r="U24" s="16"/>
      <c r="V24" s="16"/>
      <c r="W24" s="16"/>
      <c r="X24" s="16"/>
      <c r="Y24" s="16"/>
    </row>
    <row r="25" spans="1:25" x14ac:dyDescent="0.3">
      <c r="A25" s="3">
        <f>IF((B25&gt;(Inputs!$B$7+Inputs!$B$8)),0,IF((B25&lt;Inputs!$B$7),0,((B25-Inputs!$B$7))))</f>
        <v>1</v>
      </c>
      <c r="B25" s="171">
        <f t="shared" ref="B25:B44" si="4">B24+1</f>
        <v>2029</v>
      </c>
      <c r="C25" s="172">
        <f>C24*(1+$C$7)</f>
        <v>3822915.2726559751</v>
      </c>
      <c r="D25" s="172">
        <f t="shared" ref="D25:D44" si="5">D24*(1+$C$7)</f>
        <v>537383.19259659399</v>
      </c>
      <c r="E25" s="172">
        <f t="shared" ref="E25:E44" si="6">E24*(1+$C$7)</f>
        <v>563688.66356286081</v>
      </c>
      <c r="F25" s="172">
        <f t="shared" ref="F25:F44" si="7">F24*(1+$C$7)</f>
        <v>224266.77628300173</v>
      </c>
      <c r="G25" s="172">
        <f t="shared" ref="G25:G44" si="8">G24*(1+$C$7)</f>
        <v>64697.833353959541</v>
      </c>
      <c r="H25" s="172">
        <f t="shared" ref="H25:H44" si="9">H24*(1+$C$7)</f>
        <v>0</v>
      </c>
      <c r="I25" s="172">
        <f>IF(A25&gt;0,SUM(C25:H25),)</f>
        <v>5212951.7384523908</v>
      </c>
      <c r="J25" s="172">
        <f t="shared" ref="J25:J43" si="10">I25/(1+$C$6)^(B25-$C$5)</f>
        <v>3033985.3734374363</v>
      </c>
      <c r="K25" s="16"/>
      <c r="L25" s="74"/>
      <c r="M25" s="74"/>
      <c r="N25" s="74"/>
      <c r="O25" s="74"/>
      <c r="P25" s="74"/>
      <c r="Q25" s="74"/>
      <c r="R25" s="16"/>
      <c r="S25" s="16"/>
      <c r="T25" s="16"/>
      <c r="U25" s="16"/>
      <c r="V25" s="16"/>
      <c r="W25" s="16"/>
      <c r="X25" s="16"/>
      <c r="Y25" s="16"/>
    </row>
    <row r="26" spans="1:25" x14ac:dyDescent="0.3">
      <c r="A26" s="3">
        <f>IF((B26&gt;(Inputs!$B$7+Inputs!$B$8)),0,IF((B26&lt;Inputs!$B$7),0,((B26-Inputs!$B$7))))</f>
        <v>2</v>
      </c>
      <c r="B26" s="171">
        <f>B25+1</f>
        <v>2030</v>
      </c>
      <c r="C26" s="172">
        <f t="shared" ref="C26:C44" si="11">C25*(1+$C$7)</f>
        <v>3944273.3089119447</v>
      </c>
      <c r="D26" s="172">
        <f t="shared" si="5"/>
        <v>554442.3645424</v>
      </c>
      <c r="E26" s="172">
        <f t="shared" si="6"/>
        <v>581582.89986965025</v>
      </c>
      <c r="F26" s="172">
        <f t="shared" si="7"/>
        <v>231386.10109823709</v>
      </c>
      <c r="G26" s="172">
        <f t="shared" si="8"/>
        <v>66751.659150731008</v>
      </c>
      <c r="H26" s="172">
        <f t="shared" si="9"/>
        <v>0</v>
      </c>
      <c r="I26" s="172">
        <f t="shared" ref="I26:I43" si="12">IF(A26&gt;0,SUM(C26:H26),)</f>
        <v>5378436.3335729633</v>
      </c>
      <c r="J26" s="172">
        <f t="shared" si="10"/>
        <v>2925513.0041709049</v>
      </c>
      <c r="K26" s="16"/>
      <c r="L26" s="74"/>
      <c r="M26" s="74"/>
      <c r="N26" s="74"/>
      <c r="O26" s="74"/>
      <c r="P26" s="74"/>
      <c r="Q26" s="74"/>
      <c r="R26" s="16"/>
      <c r="S26" s="16"/>
      <c r="T26" s="16"/>
      <c r="U26" s="16"/>
      <c r="V26" s="16"/>
      <c r="W26" s="16"/>
      <c r="X26" s="16"/>
      <c r="Y26" s="16"/>
    </row>
    <row r="27" spans="1:25" x14ac:dyDescent="0.3">
      <c r="A27" s="3">
        <f>IF((B27&gt;(Inputs!$B$7+Inputs!$B$8)),0,IF((B27&lt;Inputs!$B$7),0,((B27-Inputs!$B$7))))</f>
        <v>3</v>
      </c>
      <c r="B27" s="171">
        <f t="shared" si="4"/>
        <v>2031</v>
      </c>
      <c r="C27" s="172">
        <f t="shared" si="11"/>
        <v>4069483.8430428337</v>
      </c>
      <c r="D27" s="172">
        <f t="shared" si="5"/>
        <v>572043.07807619357</v>
      </c>
      <c r="E27" s="172">
        <f t="shared" si="6"/>
        <v>600045.18679320987</v>
      </c>
      <c r="F27" s="172">
        <f t="shared" si="7"/>
        <v>238731.42811792233</v>
      </c>
      <c r="G27" s="172">
        <f t="shared" si="8"/>
        <v>68870.683427649506</v>
      </c>
      <c r="H27" s="172">
        <f t="shared" si="9"/>
        <v>0</v>
      </c>
      <c r="I27" s="172">
        <f t="shared" si="12"/>
        <v>5549174.2194578089</v>
      </c>
      <c r="J27" s="172">
        <f>I27/(1+$C$6)^(B27-$C$5)</f>
        <v>2820918.7863936024</v>
      </c>
      <c r="K27" s="16"/>
      <c r="L27" s="74"/>
      <c r="M27" s="74"/>
      <c r="N27" s="74"/>
      <c r="O27" s="74"/>
      <c r="P27" s="74"/>
      <c r="Q27" s="74"/>
      <c r="R27" s="16"/>
      <c r="S27" s="16"/>
      <c r="T27" s="16"/>
      <c r="U27" s="16"/>
      <c r="V27" s="16"/>
      <c r="W27" s="16"/>
      <c r="X27" s="16"/>
      <c r="Y27" s="16"/>
    </row>
    <row r="28" spans="1:25" x14ac:dyDescent="0.3">
      <c r="A28" s="3">
        <f>IF((B28&gt;(Inputs!$B$7+Inputs!$B$8)),0,IF((B28&lt;Inputs!$B$7),0,((B28-Inputs!$B$7))))</f>
        <v>4</v>
      </c>
      <c r="B28" s="171">
        <f t="shared" si="4"/>
        <v>2032</v>
      </c>
      <c r="C28" s="172">
        <f t="shared" si="11"/>
        <v>4198669.1721814414</v>
      </c>
      <c r="D28" s="172">
        <f t="shared" si="5"/>
        <v>590202.52437773719</v>
      </c>
      <c r="E28" s="172">
        <f t="shared" si="6"/>
        <v>619093.55703958427</v>
      </c>
      <c r="F28" s="172">
        <f t="shared" si="7"/>
        <v>246309.93175785412</v>
      </c>
      <c r="G28" s="172">
        <f t="shared" si="8"/>
        <v>71056.975903490689</v>
      </c>
      <c r="H28" s="172">
        <f t="shared" si="9"/>
        <v>0</v>
      </c>
      <c r="I28" s="172">
        <f t="shared" si="12"/>
        <v>5725332.1612601075</v>
      </c>
      <c r="J28" s="172">
        <f t="shared" si="10"/>
        <v>2720064.0667408495</v>
      </c>
      <c r="K28" s="16"/>
      <c r="L28" s="74"/>
      <c r="M28" s="74"/>
      <c r="N28" s="74"/>
      <c r="O28" s="74"/>
      <c r="P28" s="74"/>
      <c r="Q28" s="74"/>
      <c r="R28" s="16"/>
      <c r="S28" s="16"/>
      <c r="T28" s="16"/>
      <c r="U28" s="16"/>
      <c r="V28" s="16"/>
      <c r="W28" s="16"/>
      <c r="X28" s="16"/>
      <c r="Y28" s="16"/>
    </row>
    <row r="29" spans="1:25" x14ac:dyDescent="0.3">
      <c r="A29" s="3">
        <f>IF((B29&gt;(Inputs!$B$7+Inputs!$B$8)),0,IF((B29&lt;Inputs!$B$7),0,((B29-Inputs!$B$7))))</f>
        <v>5</v>
      </c>
      <c r="B29" s="171">
        <f t="shared" si="4"/>
        <v>2033</v>
      </c>
      <c r="C29" s="172">
        <f t="shared" si="11"/>
        <v>4331955.4757699622</v>
      </c>
      <c r="D29" s="172">
        <f t="shared" si="5"/>
        <v>608938.44035895541</v>
      </c>
      <c r="E29" s="172">
        <f t="shared" si="6"/>
        <v>638746.61576114176</v>
      </c>
      <c r="F29" s="172">
        <f t="shared" si="7"/>
        <v>254129.01418489096</v>
      </c>
      <c r="G29" s="172">
        <f t="shared" si="8"/>
        <v>73312.672000031249</v>
      </c>
      <c r="H29" s="172">
        <f t="shared" si="9"/>
        <v>0</v>
      </c>
      <c r="I29" s="172">
        <f t="shared" si="12"/>
        <v>5907082.2180749811</v>
      </c>
      <c r="J29" s="172">
        <f t="shared" si="10"/>
        <v>2622815.1490435805</v>
      </c>
      <c r="K29" s="16"/>
      <c r="L29" s="74"/>
      <c r="M29" s="74"/>
      <c r="N29" s="74"/>
      <c r="O29" s="74"/>
      <c r="P29" s="74"/>
      <c r="Q29" s="74"/>
      <c r="R29" s="16"/>
      <c r="S29" s="16"/>
      <c r="T29" s="16"/>
      <c r="U29" s="16"/>
      <c r="V29" s="16"/>
      <c r="W29" s="16"/>
      <c r="X29" s="16"/>
      <c r="Y29" s="16"/>
    </row>
    <row r="30" spans="1:25" x14ac:dyDescent="0.3">
      <c r="A30" s="3">
        <f>IF((B30&gt;(Inputs!$B$7+Inputs!$B$8)),0,IF((B30&lt;Inputs!$B$7),0,((B30-Inputs!$B$7))))</f>
        <v>6</v>
      </c>
      <c r="B30" s="171">
        <f t="shared" si="4"/>
        <v>2034</v>
      </c>
      <c r="C30" s="172">
        <f t="shared" si="11"/>
        <v>4469472.9388034791</v>
      </c>
      <c r="D30" s="172">
        <f t="shared" si="5"/>
        <v>628269.12598814373</v>
      </c>
      <c r="E30" s="172">
        <f t="shared" si="6"/>
        <v>659023.55872882181</v>
      </c>
      <c r="F30" s="172">
        <f t="shared" si="7"/>
        <v>262196.3125468861</v>
      </c>
      <c r="G30" s="172">
        <f t="shared" si="8"/>
        <v>75639.974927783696</v>
      </c>
      <c r="H30" s="172">
        <f t="shared" si="9"/>
        <v>0</v>
      </c>
      <c r="I30" s="172">
        <f t="shared" si="12"/>
        <v>6094601.9109951146</v>
      </c>
      <c r="J30" s="172">
        <f>I30/(1+$C$6)^(B30-$C$5)</f>
        <v>2529043.117096514</v>
      </c>
      <c r="K30" s="16"/>
      <c r="L30" s="74"/>
      <c r="M30" s="74"/>
      <c r="N30" s="74"/>
      <c r="O30" s="74"/>
      <c r="P30" s="74"/>
      <c r="Q30" s="74"/>
      <c r="R30" s="16"/>
      <c r="S30" s="16"/>
      <c r="T30" s="16"/>
      <c r="U30" s="16"/>
      <c r="V30" s="16"/>
      <c r="W30" s="16"/>
      <c r="X30" s="16"/>
      <c r="Y30" s="16"/>
    </row>
    <row r="31" spans="1:25" x14ac:dyDescent="0.3">
      <c r="A31" s="3">
        <f>IF((B31&gt;(Inputs!$B$7+Inputs!$B$8)),0,IF((B31&lt;Inputs!$B$7),0,((B31-Inputs!$B$7))))</f>
        <v>7</v>
      </c>
      <c r="B31" s="171">
        <f t="shared" si="4"/>
        <v>2035</v>
      </c>
      <c r="C31" s="172">
        <f t="shared" si="11"/>
        <v>4611355.8789858148</v>
      </c>
      <c r="D31" s="172">
        <f t="shared" si="5"/>
        <v>648213.46216413321</v>
      </c>
      <c r="E31" s="172">
        <f t="shared" si="6"/>
        <v>679944.19108125835</v>
      </c>
      <c r="F31" s="172">
        <f t="shared" si="7"/>
        <v>270519.70643213426</v>
      </c>
      <c r="G31" s="172">
        <f t="shared" si="8"/>
        <v>78041.15783794249</v>
      </c>
      <c r="H31" s="172">
        <f t="shared" si="9"/>
        <v>0</v>
      </c>
      <c r="I31" s="172">
        <f t="shared" si="12"/>
        <v>6288074.3965012822</v>
      </c>
      <c r="J31" s="172">
        <f t="shared" si="10"/>
        <v>2438623.6637628074</v>
      </c>
      <c r="K31" s="16"/>
      <c r="L31" s="74"/>
      <c r="M31" s="74"/>
      <c r="N31" s="74"/>
      <c r="O31" s="74"/>
      <c r="P31" s="74"/>
      <c r="Q31" s="74"/>
      <c r="R31" s="16"/>
      <c r="S31" s="16"/>
      <c r="T31" s="16"/>
      <c r="U31" s="16"/>
      <c r="V31" s="16"/>
      <c r="W31" s="16"/>
      <c r="X31" s="16"/>
      <c r="Y31" s="16"/>
    </row>
    <row r="32" spans="1:25" x14ac:dyDescent="0.3">
      <c r="A32" s="3">
        <f>IF((B32&gt;(Inputs!$B$7+Inputs!$B$8)),0,IF((B32&lt;Inputs!$B$7),0,((B32-Inputs!$B$7))))</f>
        <v>8</v>
      </c>
      <c r="B32" s="171">
        <f t="shared" si="4"/>
        <v>2036</v>
      </c>
      <c r="C32" s="172">
        <f t="shared" si="11"/>
        <v>4757742.8779219268</v>
      </c>
      <c r="D32" s="172">
        <f t="shared" si="5"/>
        <v>668790.92915786779</v>
      </c>
      <c r="E32" s="172">
        <f t="shared" si="6"/>
        <v>701528.94666909182</v>
      </c>
      <c r="F32" s="172">
        <f t="shared" si="7"/>
        <v>279107.32556561736</v>
      </c>
      <c r="G32" s="172">
        <f t="shared" si="8"/>
        <v>80518.566042643535</v>
      </c>
      <c r="H32" s="172">
        <f t="shared" si="9"/>
        <v>0</v>
      </c>
      <c r="I32" s="172">
        <f t="shared" si="12"/>
        <v>6487688.6453571478</v>
      </c>
      <c r="J32" s="172">
        <f t="shared" si="10"/>
        <v>2351436.9261886305</v>
      </c>
      <c r="K32" s="16"/>
      <c r="L32" s="74"/>
      <c r="M32" s="74"/>
      <c r="N32" s="74"/>
      <c r="O32" s="74"/>
      <c r="P32" s="74"/>
      <c r="Q32" s="74"/>
      <c r="R32" s="16"/>
      <c r="S32" s="16"/>
      <c r="T32" s="16"/>
      <c r="U32" s="16"/>
      <c r="V32" s="16"/>
      <c r="W32" s="16"/>
      <c r="X32" s="16"/>
      <c r="Y32" s="16"/>
    </row>
    <row r="33" spans="1:25" x14ac:dyDescent="0.3">
      <c r="A33" s="3">
        <f>IF((B33&gt;(Inputs!$B$7+Inputs!$B$8)),0,IF((B33&lt;Inputs!$B$7),0,((B33-Inputs!$B$7))))</f>
        <v>9</v>
      </c>
      <c r="B33" s="171">
        <f t="shared" si="4"/>
        <v>2037</v>
      </c>
      <c r="C33" s="172">
        <f t="shared" si="11"/>
        <v>4908776.9164749933</v>
      </c>
      <c r="D33" s="172">
        <f t="shared" si="5"/>
        <v>690021.62563940813</v>
      </c>
      <c r="E33" s="172">
        <f>E32*(1+$C$7)</f>
        <v>723798.90801336488</v>
      </c>
      <c r="F33" s="172">
        <f t="shared" si="7"/>
        <v>287967.55774956691</v>
      </c>
      <c r="G33" s="172">
        <f t="shared" si="8"/>
        <v>83074.619305705521</v>
      </c>
      <c r="H33" s="172">
        <f t="shared" si="9"/>
        <v>0</v>
      </c>
      <c r="I33" s="172">
        <f t="shared" si="12"/>
        <v>6693639.6271830387</v>
      </c>
      <c r="J33" s="172">
        <f t="shared" si="10"/>
        <v>2267367.3269092161</v>
      </c>
      <c r="K33" s="16"/>
      <c r="L33" s="74"/>
      <c r="M33" s="74"/>
      <c r="N33" s="74"/>
      <c r="O33" s="74"/>
      <c r="P33" s="74"/>
      <c r="Q33" s="74"/>
      <c r="R33" s="16"/>
      <c r="S33" s="16"/>
      <c r="T33" s="16"/>
      <c r="U33" s="16"/>
      <c r="V33" s="16"/>
      <c r="W33" s="16"/>
      <c r="X33" s="16"/>
      <c r="Y33" s="16"/>
    </row>
    <row r="34" spans="1:25" x14ac:dyDescent="0.3">
      <c r="A34" s="3">
        <f>IF((B34&gt;(Inputs!$B$7+Inputs!$B$8)),0,IF((B34&lt;Inputs!$B$7),0,((B34-Inputs!$B$7))))</f>
        <v>10</v>
      </c>
      <c r="B34" s="171">
        <f t="shared" si="4"/>
        <v>2038</v>
      </c>
      <c r="C34" s="172">
        <f t="shared" si="11"/>
        <v>5064605.5144203939</v>
      </c>
      <c r="D34" s="172">
        <f t="shared" si="5"/>
        <v>711926.28830894514</v>
      </c>
      <c r="E34" s="172">
        <f t="shared" si="6"/>
        <v>746775.82689749461</v>
      </c>
      <c r="F34" s="172">
        <f t="shared" si="7"/>
        <v>297109.05705609883</v>
      </c>
      <c r="G34" s="172">
        <f t="shared" si="8"/>
        <v>85711.814206090625</v>
      </c>
      <c r="H34" s="172">
        <f t="shared" si="9"/>
        <v>0</v>
      </c>
      <c r="I34" s="172">
        <f t="shared" si="12"/>
        <v>6906128.5008890238</v>
      </c>
      <c r="J34" s="172">
        <f t="shared" si="10"/>
        <v>2186303.4206357617</v>
      </c>
      <c r="K34" s="16"/>
      <c r="L34" s="74"/>
      <c r="M34" s="74"/>
      <c r="N34" s="74"/>
      <c r="O34" s="74"/>
      <c r="P34" s="74"/>
      <c r="Q34" s="74"/>
      <c r="R34" s="16"/>
      <c r="S34" s="16"/>
      <c r="T34" s="16"/>
      <c r="U34" s="16"/>
      <c r="V34" s="16"/>
      <c r="W34" s="16"/>
      <c r="X34" s="16"/>
      <c r="Y34" s="16"/>
    </row>
    <row r="35" spans="1:25" x14ac:dyDescent="0.3">
      <c r="A35" s="3">
        <f>IF((B35&gt;(Inputs!$B$7+Inputs!$B$8)),0,IF((B35&lt;Inputs!$B$7),0,((B35-Inputs!$B$7))))</f>
        <v>11</v>
      </c>
      <c r="B35" s="171">
        <f t="shared" si="4"/>
        <v>2039</v>
      </c>
      <c r="C35" s="172">
        <f t="shared" si="11"/>
        <v>5225380.8745329911</v>
      </c>
      <c r="D35" s="172">
        <f t="shared" si="5"/>
        <v>734526.31215099839</v>
      </c>
      <c r="E35" s="172">
        <f t="shared" si="6"/>
        <v>770482.14561293507</v>
      </c>
      <c r="F35" s="172">
        <f t="shared" si="7"/>
        <v>306540.75227992225</v>
      </c>
      <c r="G35" s="172">
        <f t="shared" si="8"/>
        <v>88432.726576393034</v>
      </c>
      <c r="H35" s="172">
        <f t="shared" si="9"/>
        <v>0</v>
      </c>
      <c r="I35" s="172">
        <f t="shared" si="12"/>
        <v>7125362.8111532405</v>
      </c>
      <c r="J35" s="172">
        <f t="shared" si="10"/>
        <v>2108137.7465200704</v>
      </c>
      <c r="K35" s="16"/>
      <c r="L35" s="74"/>
      <c r="M35" s="74"/>
      <c r="N35" s="74"/>
      <c r="O35" s="74"/>
      <c r="P35" s="74"/>
      <c r="Q35" s="74"/>
      <c r="R35" s="16"/>
      <c r="S35" s="16"/>
      <c r="T35" s="16"/>
      <c r="U35" s="16"/>
      <c r="V35" s="16"/>
      <c r="W35" s="16"/>
      <c r="X35" s="16"/>
      <c r="Y35" s="16"/>
    </row>
    <row r="36" spans="1:25" x14ac:dyDescent="0.3">
      <c r="A36" s="3">
        <f>IF((B36&gt;(Inputs!$B$7+Inputs!$B$8)),0,IF((B36&lt;Inputs!$B$7),0,((B36-Inputs!$B$7))))</f>
        <v>12</v>
      </c>
      <c r="B36" s="171">
        <f t="shared" si="4"/>
        <v>2040</v>
      </c>
      <c r="C36" s="172">
        <f t="shared" si="11"/>
        <v>5391260.0312484503</v>
      </c>
      <c r="D36" s="172">
        <f t="shared" si="5"/>
        <v>757843.77133158175</v>
      </c>
      <c r="E36" s="172">
        <f t="shared" si="6"/>
        <v>794941.01887928124</v>
      </c>
      <c r="F36" s="172">
        <f t="shared" si="7"/>
        <v>316271.85565937887</v>
      </c>
      <c r="G36" s="172">
        <f t="shared" si="8"/>
        <v>91240.014018737013</v>
      </c>
      <c r="H36" s="172">
        <f t="shared" si="9"/>
        <v>0</v>
      </c>
      <c r="I36" s="172">
        <f t="shared" si="12"/>
        <v>7351556.6911374293</v>
      </c>
      <c r="J36" s="172">
        <f t="shared" si="10"/>
        <v>2032766.6857010936</v>
      </c>
      <c r="K36" s="16"/>
      <c r="L36" s="74"/>
      <c r="M36" s="74"/>
      <c r="N36" s="74"/>
      <c r="O36" s="74"/>
      <c r="P36" s="74"/>
      <c r="Q36" s="74"/>
      <c r="R36" s="16"/>
      <c r="S36" s="16"/>
      <c r="T36" s="16"/>
      <c r="U36" s="16"/>
      <c r="V36" s="16"/>
      <c r="W36" s="16"/>
      <c r="X36" s="16"/>
      <c r="Y36" s="16"/>
    </row>
    <row r="37" spans="1:25" x14ac:dyDescent="0.3">
      <c r="A37" s="3">
        <f>IF((B37&gt;(Inputs!$B$7+Inputs!$B$8)),0,IF((B37&lt;Inputs!$B$7),0,((B37-Inputs!$B$7))))</f>
        <v>13</v>
      </c>
      <c r="B37" s="171">
        <f t="shared" si="4"/>
        <v>2041</v>
      </c>
      <c r="C37" s="172">
        <f t="shared" si="11"/>
        <v>5562405.0040437933</v>
      </c>
      <c r="D37" s="172">
        <f t="shared" si="5"/>
        <v>781901.44075874693</v>
      </c>
      <c r="E37" s="172">
        <f t="shared" si="6"/>
        <v>820176.33646022377</v>
      </c>
      <c r="F37" s="172">
        <f t="shared" si="7"/>
        <v>326311.87187433086</v>
      </c>
      <c r="G37" s="172">
        <f t="shared" si="8"/>
        <v>94136.418500541884</v>
      </c>
      <c r="H37" s="172">
        <f t="shared" si="9"/>
        <v>0</v>
      </c>
      <c r="I37" s="172">
        <f t="shared" si="12"/>
        <v>7584931.0716376361</v>
      </c>
      <c r="J37" s="172">
        <f t="shared" si="10"/>
        <v>1960090.3239445265</v>
      </c>
      <c r="K37" s="16"/>
      <c r="L37" s="74"/>
      <c r="M37" s="74"/>
      <c r="N37" s="74"/>
      <c r="O37" s="74"/>
      <c r="P37" s="74"/>
      <c r="Q37" s="74"/>
      <c r="R37" s="16"/>
      <c r="S37" s="16"/>
      <c r="T37" s="16"/>
      <c r="U37" s="16"/>
      <c r="V37" s="16"/>
      <c r="W37" s="16"/>
      <c r="X37" s="16"/>
      <c r="Y37" s="16"/>
    </row>
    <row r="38" spans="1:25" x14ac:dyDescent="0.3">
      <c r="A38" s="3">
        <f>IF((B38&gt;(Inputs!$B$7+Inputs!$B$8)),0,IF((B38&lt;Inputs!$B$7),0,((B38-Inputs!$B$7))))</f>
        <v>14</v>
      </c>
      <c r="B38" s="171">
        <f t="shared" si="4"/>
        <v>2042</v>
      </c>
      <c r="C38" s="172">
        <f t="shared" si="11"/>
        <v>5738982.9556870023</v>
      </c>
      <c r="D38" s="172">
        <f t="shared" si="5"/>
        <v>806722.81832756498</v>
      </c>
      <c r="E38" s="172">
        <f t="shared" si="6"/>
        <v>846212.74649744539</v>
      </c>
      <c r="F38" s="172">
        <f t="shared" si="7"/>
        <v>336670.60732968553</v>
      </c>
      <c r="G38" s="172">
        <f t="shared" si="8"/>
        <v>97124.769032689277</v>
      </c>
      <c r="H38" s="172">
        <f t="shared" si="9"/>
        <v>0</v>
      </c>
      <c r="I38" s="172">
        <f t="shared" si="12"/>
        <v>7825713.8968743868</v>
      </c>
      <c r="J38" s="172">
        <f t="shared" si="10"/>
        <v>1890012.3191933769</v>
      </c>
      <c r="K38" s="16"/>
      <c r="L38" s="74"/>
      <c r="M38" s="74"/>
      <c r="N38" s="74"/>
      <c r="O38" s="74"/>
      <c r="P38" s="74"/>
      <c r="Q38" s="74"/>
      <c r="R38" s="16"/>
      <c r="S38" s="16"/>
      <c r="T38" s="16"/>
      <c r="U38" s="16"/>
      <c r="V38" s="16"/>
      <c r="W38" s="16"/>
      <c r="X38" s="16"/>
      <c r="Y38" s="16"/>
    </row>
    <row r="39" spans="1:25" x14ac:dyDescent="0.3">
      <c r="A39" s="3">
        <f>IF((B39&gt;(Inputs!$B$7+Inputs!$B$8)),0,IF((B39&lt;Inputs!$B$7),0,((B39-Inputs!$B$7))))</f>
        <v>15</v>
      </c>
      <c r="B39" s="171">
        <f t="shared" si="4"/>
        <v>2043</v>
      </c>
      <c r="C39" s="172">
        <f t="shared" si="11"/>
        <v>5921166.3555102423</v>
      </c>
      <c r="D39" s="172">
        <f t="shared" si="5"/>
        <v>832332.14787127124</v>
      </c>
      <c r="E39" s="172">
        <f t="shared" si="6"/>
        <v>873075.67958524916</v>
      </c>
      <c r="F39" s="172">
        <f t="shared" si="7"/>
        <v>347358.17973362462</v>
      </c>
      <c r="G39" s="172">
        <f t="shared" si="8"/>
        <v>100207.98443270854</v>
      </c>
      <c r="H39" s="172">
        <f t="shared" si="9"/>
        <v>0</v>
      </c>
      <c r="I39" s="172">
        <f t="shared" si="12"/>
        <v>8074140.3471330954</v>
      </c>
      <c r="J39" s="172">
        <f t="shared" si="10"/>
        <v>1822439.7738539244</v>
      </c>
      <c r="K39" s="16"/>
      <c r="L39" s="74"/>
      <c r="M39" s="74"/>
      <c r="N39" s="74"/>
      <c r="O39" s="74"/>
      <c r="P39" s="74"/>
      <c r="Q39" s="74"/>
      <c r="R39" s="16"/>
      <c r="S39" s="16"/>
      <c r="T39" s="16"/>
      <c r="U39" s="16"/>
      <c r="V39" s="16"/>
      <c r="W39" s="16"/>
      <c r="X39" s="16"/>
      <c r="Y39" s="16"/>
    </row>
    <row r="40" spans="1:25" x14ac:dyDescent="0.3">
      <c r="A40" s="3">
        <f>IF((B40&gt;(Inputs!$B$7+Inputs!$B$8)),0,IF((B40&lt;Inputs!$B$7),0,((B40-Inputs!$B$7))))</f>
        <v>16</v>
      </c>
      <c r="B40" s="171">
        <f t="shared" si="4"/>
        <v>2044</v>
      </c>
      <c r="C40" s="172">
        <f t="shared" si="11"/>
        <v>6109133.1478661718</v>
      </c>
      <c r="D40" s="172">
        <f t="shared" si="5"/>
        <v>858754.44284099306</v>
      </c>
      <c r="E40" s="172">
        <f t="shared" si="6"/>
        <v>900791.37360943283</v>
      </c>
      <c r="F40" s="172">
        <f t="shared" si="7"/>
        <v>358385.02797989344</v>
      </c>
      <c r="G40" s="172">
        <f t="shared" si="8"/>
        <v>103389.07617567918</v>
      </c>
      <c r="H40" s="172">
        <f t="shared" si="9"/>
        <v>0</v>
      </c>
      <c r="I40" s="172">
        <f t="shared" si="12"/>
        <v>8330453.0684721712</v>
      </c>
      <c r="J40" s="172">
        <f t="shared" si="10"/>
        <v>1757283.1116477633</v>
      </c>
      <c r="K40" s="16"/>
      <c r="L40" s="74"/>
      <c r="M40" s="74"/>
      <c r="N40" s="74"/>
      <c r="O40" s="74"/>
      <c r="P40" s="74"/>
      <c r="Q40" s="74"/>
      <c r="R40" s="16"/>
      <c r="S40" s="16"/>
      <c r="T40" s="16"/>
      <c r="U40" s="16"/>
      <c r="V40" s="16"/>
      <c r="W40" s="16"/>
      <c r="X40" s="16"/>
      <c r="Y40" s="16"/>
    </row>
    <row r="41" spans="1:25" x14ac:dyDescent="0.3">
      <c r="A41" s="3">
        <f>IF((B41&gt;(Inputs!$B$7+Inputs!$B$8)),0,IF((B41&lt;Inputs!$B$7),0,((B41-Inputs!$B$7))))</f>
        <v>17</v>
      </c>
      <c r="B41" s="171">
        <f t="shared" si="4"/>
        <v>2045</v>
      </c>
      <c r="C41" s="172">
        <f t="shared" si="11"/>
        <v>6303066.9259318849</v>
      </c>
      <c r="D41" s="172">
        <f t="shared" si="5"/>
        <v>886015.51073718723</v>
      </c>
      <c r="E41" s="172">
        <f t="shared" si="6"/>
        <v>929386.8993746714</v>
      </c>
      <c r="F41" s="172">
        <f t="shared" si="7"/>
        <v>369761.92234380223</v>
      </c>
      <c r="G41" s="172">
        <f t="shared" si="8"/>
        <v>106671.15133563483</v>
      </c>
      <c r="H41" s="172">
        <f t="shared" si="9"/>
        <v>0</v>
      </c>
      <c r="I41" s="172">
        <f t="shared" si="12"/>
        <v>8594902.4097231794</v>
      </c>
      <c r="J41" s="172">
        <f t="shared" si="10"/>
        <v>1694455.9588666896</v>
      </c>
      <c r="K41" s="16"/>
      <c r="L41" s="74"/>
      <c r="M41" s="74"/>
      <c r="N41" s="74"/>
      <c r="O41" s="74"/>
      <c r="P41" s="74"/>
      <c r="Q41" s="74"/>
      <c r="R41" s="16"/>
      <c r="S41" s="16"/>
      <c r="T41" s="16"/>
      <c r="U41" s="16"/>
      <c r="V41" s="16"/>
      <c r="W41" s="16"/>
      <c r="X41" s="16"/>
      <c r="Y41" s="16"/>
    </row>
    <row r="42" spans="1:25" x14ac:dyDescent="0.3">
      <c r="A42" s="3">
        <f>IF((B42&gt;(Inputs!$B$7+Inputs!$B$8)),0,IF((B42&lt;Inputs!$B$7),0,((B42-Inputs!$B$7))))</f>
        <v>18</v>
      </c>
      <c r="B42" s="171">
        <f t="shared" si="4"/>
        <v>2046</v>
      </c>
      <c r="C42" s="172">
        <f t="shared" si="11"/>
        <v>6503157.111030235</v>
      </c>
      <c r="D42" s="172">
        <f t="shared" si="5"/>
        <v>914141.97831665096</v>
      </c>
      <c r="E42" s="172">
        <f t="shared" si="6"/>
        <v>958890.18704543752</v>
      </c>
      <c r="F42" s="172">
        <f t="shared" si="7"/>
        <v>381499.97500189848</v>
      </c>
      <c r="G42" s="172">
        <f t="shared" si="8"/>
        <v>110057.41562034187</v>
      </c>
      <c r="H42" s="172">
        <f t="shared" si="9"/>
        <v>0</v>
      </c>
      <c r="I42" s="172">
        <f t="shared" si="12"/>
        <v>8867746.6670145635</v>
      </c>
      <c r="J42" s="172">
        <f t="shared" si="10"/>
        <v>1633875.0298730147</v>
      </c>
      <c r="K42" s="16"/>
      <c r="L42" s="74"/>
      <c r="M42" s="74"/>
      <c r="N42" s="74"/>
      <c r="O42" s="74"/>
      <c r="P42" s="74"/>
      <c r="Q42" s="74"/>
      <c r="R42" s="16"/>
      <c r="S42" s="16"/>
      <c r="T42" s="16"/>
      <c r="U42" s="16"/>
      <c r="V42" s="16"/>
      <c r="W42" s="16"/>
      <c r="X42" s="16"/>
      <c r="Y42" s="16"/>
    </row>
    <row r="43" spans="1:25" x14ac:dyDescent="0.3">
      <c r="A43" s="3">
        <f>IF((B43&gt;(Inputs!$B$7+Inputs!$B$8)),0,IF((B43&lt;Inputs!$B$7),0,((B43-Inputs!$B$7))))</f>
        <v>19</v>
      </c>
      <c r="B43" s="171">
        <f t="shared" si="4"/>
        <v>2047</v>
      </c>
      <c r="C43" s="172">
        <f t="shared" si="11"/>
        <v>6709599.1376437014</v>
      </c>
      <c r="D43" s="172">
        <f t="shared" si="5"/>
        <v>943161.31759972672</v>
      </c>
      <c r="E43" s="172">
        <f t="shared" si="6"/>
        <v>989330.05342628621</v>
      </c>
      <c r="F43" s="172">
        <f t="shared" si="7"/>
        <v>393610.65088558506</v>
      </c>
      <c r="G43" s="172">
        <f t="shared" si="8"/>
        <v>113551.17650241667</v>
      </c>
      <c r="H43" s="172">
        <f t="shared" si="9"/>
        <v>0</v>
      </c>
      <c r="I43" s="172">
        <f t="shared" si="12"/>
        <v>9149252.336057717</v>
      </c>
      <c r="J43" s="172">
        <f t="shared" si="10"/>
        <v>1575460.0166935173</v>
      </c>
      <c r="K43" s="16"/>
      <c r="L43" s="74"/>
      <c r="M43" s="74"/>
      <c r="N43" s="74"/>
      <c r="O43" s="74"/>
      <c r="P43" s="74"/>
      <c r="Q43" s="74"/>
      <c r="R43" s="16"/>
      <c r="S43" s="16"/>
      <c r="T43" s="16"/>
      <c r="U43" s="16"/>
      <c r="V43" s="16"/>
      <c r="W43" s="16"/>
      <c r="X43" s="16"/>
      <c r="Y43" s="16"/>
    </row>
    <row r="44" spans="1:25" x14ac:dyDescent="0.3">
      <c r="A44" s="3">
        <f>IF((B44&gt;(Inputs!$B$7+Inputs!$B$8)),0,IF((B44&lt;Inputs!$B$7),0,((B44-Inputs!$B$7))))</f>
        <v>20</v>
      </c>
      <c r="B44" s="171">
        <f t="shared" si="4"/>
        <v>2048</v>
      </c>
      <c r="C44" s="172">
        <f t="shared" si="11"/>
        <v>6922594.6443014974</v>
      </c>
      <c r="D44" s="172">
        <f t="shared" si="5"/>
        <v>973101.87270310312</v>
      </c>
      <c r="E44" s="172">
        <f t="shared" si="6"/>
        <v>1020736.2301081496</v>
      </c>
      <c r="F44" s="172">
        <f t="shared" si="7"/>
        <v>406105.7788792855</v>
      </c>
      <c r="G44" s="172">
        <f t="shared" si="8"/>
        <v>117155.8464498399</v>
      </c>
      <c r="H44" s="172">
        <f t="shared" si="9"/>
        <v>0</v>
      </c>
      <c r="I44" s="323">
        <f>IF(A44&gt;0,SUM(C44:H44),)*Inputs!$B$12</f>
        <v>4719847.1862209383</v>
      </c>
      <c r="J44" s="172">
        <f t="shared" ref="J44" si="13">I44/(1+$C$6)^(B44-$C$5)</f>
        <v>759566.7412803428</v>
      </c>
      <c r="K44" s="16"/>
      <c r="L44" s="74"/>
      <c r="M44" s="74"/>
      <c r="N44" s="74"/>
      <c r="O44" s="74"/>
      <c r="P44" s="74"/>
      <c r="Q44" s="74"/>
      <c r="R44" s="16"/>
      <c r="S44" s="16"/>
      <c r="T44" s="16"/>
      <c r="U44" s="16"/>
      <c r="V44" s="16"/>
      <c r="W44" s="16"/>
      <c r="X44" s="16"/>
      <c r="Y44" s="16"/>
    </row>
    <row r="45" spans="1:25" x14ac:dyDescent="0.3">
      <c r="A45" s="3"/>
      <c r="B45" s="472" t="s">
        <v>135</v>
      </c>
      <c r="C45" s="473"/>
      <c r="D45" s="473"/>
      <c r="E45" s="473"/>
      <c r="F45" s="473"/>
      <c r="G45" s="473"/>
      <c r="H45" s="474"/>
      <c r="I45" s="173">
        <f>SUM(I24:I44)</f>
        <v>140393295.63716823</v>
      </c>
      <c r="J45" s="173">
        <f>SUM(J24:J44)</f>
        <v>44703398.386231981</v>
      </c>
      <c r="K45" s="16"/>
      <c r="L45" s="16"/>
      <c r="M45" s="16"/>
      <c r="N45" s="16"/>
      <c r="O45" s="16"/>
      <c r="P45" s="16"/>
      <c r="Q45" s="16"/>
      <c r="R45" s="16"/>
      <c r="S45" s="16"/>
      <c r="T45" s="16"/>
      <c r="U45" s="16"/>
      <c r="V45" s="16"/>
      <c r="W45" s="16"/>
      <c r="X45" s="16"/>
      <c r="Y45" s="16"/>
    </row>
  </sheetData>
  <mergeCells count="4">
    <mergeCell ref="S13:Y13"/>
    <mergeCell ref="B45:H45"/>
    <mergeCell ref="C22:H22"/>
    <mergeCell ref="L13:R13"/>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13339-70A6-4A49-AFB8-2F9862F3B49D}">
  <dimension ref="A1:F42"/>
  <sheetViews>
    <sheetView workbookViewId="0">
      <selection activeCell="D41" sqref="D41"/>
    </sheetView>
  </sheetViews>
  <sheetFormatPr defaultColWidth="9.109375" defaultRowHeight="14.4" x14ac:dyDescent="0.3"/>
  <cols>
    <col min="1" max="1" width="26.5546875" style="8" customWidth="1"/>
    <col min="2" max="2" width="16.5546875" style="8" customWidth="1"/>
    <col min="3" max="3" width="14" style="8" bestFit="1" customWidth="1"/>
    <col min="4" max="4" width="12.6640625" style="8" customWidth="1"/>
    <col min="5" max="5" width="13.5546875" style="8" customWidth="1"/>
    <col min="6" max="16384" width="9.109375" style="8"/>
  </cols>
  <sheetData>
    <row r="1" spans="1:5" x14ac:dyDescent="0.3">
      <c r="A1" s="34" t="s">
        <v>203</v>
      </c>
    </row>
    <row r="2" spans="1:5" x14ac:dyDescent="0.3">
      <c r="A2" s="95" t="s">
        <v>163</v>
      </c>
      <c r="B2" s="95">
        <f>Inputs!B3</f>
        <v>7.0000000000000007E-2</v>
      </c>
    </row>
    <row r="3" spans="1:5" x14ac:dyDescent="0.3">
      <c r="A3" s="8" t="s">
        <v>131</v>
      </c>
      <c r="B3" s="8">
        <f>Inputs!B10</f>
        <v>2021</v>
      </c>
    </row>
    <row r="4" spans="1:5" x14ac:dyDescent="0.3">
      <c r="A4" s="8" t="s">
        <v>204</v>
      </c>
      <c r="B4" s="8">
        <f>Inputs!B11</f>
        <v>2028</v>
      </c>
    </row>
    <row r="6" spans="1:5" x14ac:dyDescent="0.3">
      <c r="A6" s="8" t="s">
        <v>205</v>
      </c>
      <c r="B6" s="8">
        <f>Inputs!B56</f>
        <v>1</v>
      </c>
      <c r="D6" s="106"/>
    </row>
    <row r="7" spans="1:5" x14ac:dyDescent="0.3">
      <c r="A7" s="8" t="s">
        <v>206</v>
      </c>
      <c r="B7" s="42">
        <v>0.01</v>
      </c>
      <c r="D7" s="106"/>
    </row>
    <row r="8" spans="1:5" x14ac:dyDescent="0.3">
      <c r="A8" s="93" t="s">
        <v>207</v>
      </c>
      <c r="B8" s="107">
        <v>2178</v>
      </c>
      <c r="D8" s="106" t="s">
        <v>208</v>
      </c>
    </row>
    <row r="9" spans="1:5" x14ac:dyDescent="0.3">
      <c r="A9" s="8" t="s">
        <v>209</v>
      </c>
      <c r="B9" s="8">
        <v>0.87</v>
      </c>
      <c r="D9" s="106" t="s">
        <v>208</v>
      </c>
    </row>
    <row r="12" spans="1:5" ht="43.2" x14ac:dyDescent="0.3">
      <c r="A12" s="108" t="s">
        <v>132</v>
      </c>
      <c r="B12" s="96" t="s">
        <v>133</v>
      </c>
      <c r="C12" s="109" t="s">
        <v>210</v>
      </c>
      <c r="D12" s="96" t="s">
        <v>211</v>
      </c>
      <c r="E12" s="96" t="s">
        <v>212</v>
      </c>
    </row>
    <row r="13" spans="1:5" x14ac:dyDescent="0.3">
      <c r="A13" s="8">
        <f>IF((B13&gt;(Inputs!$B$7+Inputs!$B$8)),0,IF((B13&lt;Inputs!$B$7),0,((B13-Inputs!$B$7))))</f>
        <v>0</v>
      </c>
      <c r="B13" s="19">
        <v>2020</v>
      </c>
      <c r="C13" s="20">
        <f>B6</f>
        <v>1</v>
      </c>
      <c r="D13" s="110">
        <f>SUM($B$8*$C13)*$B$9</f>
        <v>1894.86</v>
      </c>
      <c r="E13" s="110">
        <f>D13/((1+Inputs!$B$3)^($B13-Inputs!$B$10))</f>
        <v>2027.5001999999999</v>
      </c>
    </row>
    <row r="14" spans="1:5" x14ac:dyDescent="0.3">
      <c r="A14" s="8">
        <f>IF((B14&gt;(Inputs!$B$7+Inputs!$B$8)),0,IF((B14&lt;Inputs!$B$7),0,((B14-Inputs!$B$7))))</f>
        <v>0</v>
      </c>
      <c r="B14" s="19">
        <v>2021</v>
      </c>
      <c r="C14" s="20">
        <f t="shared" ref="C14:C41" si="0">C13*(1+$B$7)</f>
        <v>1.01</v>
      </c>
      <c r="D14" s="110">
        <f t="shared" ref="D14:D40" si="1">SUM($B$8*$C14)*$B$9</f>
        <v>1913.8086000000001</v>
      </c>
      <c r="E14" s="110">
        <f>D14/((1+Inputs!$B$3)^($B14-Inputs!$B$10))</f>
        <v>1913.8086000000001</v>
      </c>
    </row>
    <row r="15" spans="1:5" x14ac:dyDescent="0.3">
      <c r="A15" s="8">
        <f>IF((B15&gt;(Inputs!$B$7+Inputs!$B$8)),0,IF((B15&lt;Inputs!$B$7),0,((B15-Inputs!$B$7))))</f>
        <v>0</v>
      </c>
      <c r="B15" s="19">
        <v>2022</v>
      </c>
      <c r="C15" s="20">
        <f t="shared" si="0"/>
        <v>1.0201</v>
      </c>
      <c r="D15" s="110">
        <f t="shared" si="1"/>
        <v>1932.9466859999998</v>
      </c>
      <c r="E15" s="110">
        <f>D15/((1+Inputs!$B$3)^($B15-Inputs!$B$10))</f>
        <v>1806.4922299065418</v>
      </c>
    </row>
    <row r="16" spans="1:5" x14ac:dyDescent="0.3">
      <c r="A16" s="8">
        <f>IF((B16&gt;(Inputs!$B$7+Inputs!$B$8)),0,IF((B16&lt;Inputs!$B$7),0,((B16-Inputs!$B$7))))</f>
        <v>0</v>
      </c>
      <c r="B16" s="19">
        <v>2023</v>
      </c>
      <c r="C16" s="20">
        <f t="shared" si="0"/>
        <v>1.0303009999999999</v>
      </c>
      <c r="D16" s="110">
        <f t="shared" si="1"/>
        <v>1952.2761528599999</v>
      </c>
      <c r="E16" s="110">
        <f>D16/((1+Inputs!$B$3)^($B16-Inputs!$B$10))</f>
        <v>1705.1936001921565</v>
      </c>
    </row>
    <row r="17" spans="1:5" x14ac:dyDescent="0.3">
      <c r="A17" s="8">
        <f>IF((B17&gt;(Inputs!$B$7+Inputs!$B$8)),0,IF((B17&lt;Inputs!$B$7),0,((B17-Inputs!$B$7))))</f>
        <v>0</v>
      </c>
      <c r="B17" s="19">
        <v>2024</v>
      </c>
      <c r="C17" s="20">
        <f t="shared" si="0"/>
        <v>1.04060401</v>
      </c>
      <c r="D17" s="110">
        <f t="shared" si="1"/>
        <v>1971.7989143886002</v>
      </c>
      <c r="E17" s="110">
        <f>D17/((1+Inputs!$B$3)^($B17-Inputs!$B$10))</f>
        <v>1609.5752674711011</v>
      </c>
    </row>
    <row r="18" spans="1:5" x14ac:dyDescent="0.3">
      <c r="A18" s="8">
        <f>IF((B18&gt;(Inputs!$B$7+Inputs!$B$8)),0,IF((B18&lt;Inputs!$B$7),0,((B18-Inputs!$B$7))))</f>
        <v>0</v>
      </c>
      <c r="B18" s="19">
        <v>2025</v>
      </c>
      <c r="C18" s="20">
        <f t="shared" si="0"/>
        <v>1.0510100500999999</v>
      </c>
      <c r="D18" s="110">
        <f t="shared" si="1"/>
        <v>1991.5169035324857</v>
      </c>
      <c r="E18" s="110">
        <f>D18/((1+Inputs!$B$3)^($B18-Inputs!$B$10))</f>
        <v>1519.3187104166466</v>
      </c>
    </row>
    <row r="19" spans="1:5" x14ac:dyDescent="0.3">
      <c r="A19" s="8">
        <f>IF((B19&gt;(Inputs!$B$7+Inputs!$B$8)),0,IF((B19&lt;Inputs!$B$7),0,((B19-Inputs!$B$7))))</f>
        <v>0</v>
      </c>
      <c r="B19" s="19">
        <v>2026</v>
      </c>
      <c r="C19" s="20">
        <f t="shared" si="0"/>
        <v>1.0615201506009999</v>
      </c>
      <c r="D19" s="110">
        <f t="shared" si="1"/>
        <v>2011.4320725678108</v>
      </c>
      <c r="E19" s="110">
        <f>D19/((1+Inputs!$B$3)^($B19-Inputs!$B$10))</f>
        <v>1434.1232687110403</v>
      </c>
    </row>
    <row r="20" spans="1:5" x14ac:dyDescent="0.3">
      <c r="A20" s="8">
        <f>IF((B20&gt;(Inputs!$B$7+Inputs!$B$8)),0,IF((B20&lt;Inputs!$B$7),0,((B20-Inputs!$B$7))))</f>
        <v>0</v>
      </c>
      <c r="B20" s="19">
        <v>2027</v>
      </c>
      <c r="C20" s="20">
        <f t="shared" si="0"/>
        <v>1.0721353521070098</v>
      </c>
      <c r="D20" s="110">
        <f t="shared" si="1"/>
        <v>2031.5463932934886</v>
      </c>
      <c r="E20" s="110">
        <f>D20/((1+Inputs!$B$3)^($B20-Inputs!$B$10))</f>
        <v>1353.7051414935986</v>
      </c>
    </row>
    <row r="21" spans="1:5" x14ac:dyDescent="0.3">
      <c r="A21" s="8">
        <f>IF((B21&gt;(Inputs!$B$7+Inputs!$B$8)),0,IF((B21&lt;Inputs!$B$7),0,((B21-Inputs!$B$7))))</f>
        <v>0</v>
      </c>
      <c r="B21" s="19">
        <v>2028</v>
      </c>
      <c r="C21" s="20">
        <f t="shared" si="0"/>
        <v>1.08285670562808</v>
      </c>
      <c r="D21" s="153">
        <f>SUM($B$8*$C21)*$B$9*Inputs!$B$12</f>
        <v>1025.930928613212</v>
      </c>
      <c r="E21" s="110">
        <f>D21/((1+$B$2)^($B21-$B$3))</f>
        <v>638.89822098529669</v>
      </c>
    </row>
    <row r="22" spans="1:5" x14ac:dyDescent="0.3">
      <c r="A22" s="8">
        <f>IF((B22&gt;(Inputs!$B$7+Inputs!$B$8)),0,IF((B22&lt;Inputs!$B$7),0,((B22-Inputs!$B$7))))</f>
        <v>1</v>
      </c>
      <c r="B22" s="19">
        <v>2029</v>
      </c>
      <c r="C22" s="20">
        <f t="shared" si="0"/>
        <v>1.0936852726843609</v>
      </c>
      <c r="D22" s="110">
        <f t="shared" si="1"/>
        <v>2072.3804757986882</v>
      </c>
      <c r="E22" s="110">
        <f t="shared" ref="E22:E39" si="2">D22/((1+$B$2)^($B22-$B$3))</f>
        <v>1206.1443050376629</v>
      </c>
    </row>
    <row r="23" spans="1:5" x14ac:dyDescent="0.3">
      <c r="A23" s="8">
        <f>IF((B23&gt;(Inputs!$B$7+Inputs!$B$8)),0,IF((B23&lt;Inputs!$B$7),0,((B23-Inputs!$B$7))))</f>
        <v>2</v>
      </c>
      <c r="B23" s="19">
        <v>2030</v>
      </c>
      <c r="C23" s="20">
        <f t="shared" si="0"/>
        <v>1.1046221254112045</v>
      </c>
      <c r="D23" s="110">
        <f t="shared" si="1"/>
        <v>2093.1042805566749</v>
      </c>
      <c r="E23" s="110">
        <f t="shared" si="2"/>
        <v>1138.5100449420927</v>
      </c>
    </row>
    <row r="24" spans="1:5" x14ac:dyDescent="0.3">
      <c r="A24" s="8">
        <f>IF((B24&gt;(Inputs!$B$7+Inputs!$B$8)),0,IF((B24&lt;Inputs!$B$7),0,((B24-Inputs!$B$7))))</f>
        <v>3</v>
      </c>
      <c r="B24" s="19">
        <v>2031</v>
      </c>
      <c r="C24" s="20">
        <f t="shared" si="0"/>
        <v>1.1156683466653166</v>
      </c>
      <c r="D24" s="110">
        <f t="shared" si="1"/>
        <v>2114.0353233622418</v>
      </c>
      <c r="E24" s="110">
        <f t="shared" si="2"/>
        <v>1074.6683601789848</v>
      </c>
    </row>
    <row r="25" spans="1:5" x14ac:dyDescent="0.3">
      <c r="A25" s="8">
        <f>IF((B25&gt;(Inputs!$B$7+Inputs!$B$8)),0,IF((B25&lt;Inputs!$B$7),0,((B25-Inputs!$B$7))))</f>
        <v>4</v>
      </c>
      <c r="B25" s="19">
        <v>2032</v>
      </c>
      <c r="C25" s="20">
        <f t="shared" si="0"/>
        <v>1.1268250301319698</v>
      </c>
      <c r="D25" s="110">
        <f t="shared" si="1"/>
        <v>2135.1756765958644</v>
      </c>
      <c r="E25" s="110">
        <f t="shared" si="2"/>
        <v>1014.4065829726866</v>
      </c>
    </row>
    <row r="26" spans="1:5" x14ac:dyDescent="0.3">
      <c r="A26" s="8">
        <f>IF((B26&gt;(Inputs!$B$7+Inputs!$B$8)),0,IF((B26&lt;Inputs!$B$7),0,((B26-Inputs!$B$7))))</f>
        <v>5</v>
      </c>
      <c r="B26" s="19">
        <v>2033</v>
      </c>
      <c r="C26" s="20">
        <f t="shared" si="0"/>
        <v>1.1380932804332895</v>
      </c>
      <c r="D26" s="110">
        <f t="shared" si="1"/>
        <v>2156.5274333618231</v>
      </c>
      <c r="E26" s="110">
        <f t="shared" si="2"/>
        <v>957.52397084337724</v>
      </c>
    </row>
    <row r="27" spans="1:5" x14ac:dyDescent="0.3">
      <c r="A27" s="8">
        <f>IF((B27&gt;(Inputs!$B$7+Inputs!$B$8)),0,IF((B27&lt;Inputs!$B$7),0,((B27-Inputs!$B$7))))</f>
        <v>6</v>
      </c>
      <c r="B27" s="19">
        <v>2034</v>
      </c>
      <c r="C27" s="20">
        <f t="shared" si="0"/>
        <v>1.1494742132376223</v>
      </c>
      <c r="D27" s="110">
        <f t="shared" si="1"/>
        <v>2178.0927076954408</v>
      </c>
      <c r="E27" s="110">
        <f t="shared" si="2"/>
        <v>903.83103789888855</v>
      </c>
    </row>
    <row r="28" spans="1:5" x14ac:dyDescent="0.3">
      <c r="A28" s="8">
        <f>IF((B28&gt;(Inputs!$B$7+Inputs!$B$8)),0,IF((B28&lt;Inputs!$B$7),0,((B28-Inputs!$B$7))))</f>
        <v>7</v>
      </c>
      <c r="B28" s="19">
        <v>2035</v>
      </c>
      <c r="C28" s="20">
        <f t="shared" si="0"/>
        <v>1.1609689553699987</v>
      </c>
      <c r="D28" s="110">
        <f t="shared" si="1"/>
        <v>2199.8736347723957</v>
      </c>
      <c r="E28" s="110">
        <f t="shared" si="2"/>
        <v>853.1489236241847</v>
      </c>
    </row>
    <row r="29" spans="1:5" x14ac:dyDescent="0.3">
      <c r="A29" s="8">
        <f>IF((B29&gt;(Inputs!$B$7+Inputs!$B$8)),0,IF((B29&lt;Inputs!$B$7),0,((B29-Inputs!$B$7))))</f>
        <v>8</v>
      </c>
      <c r="B29" s="19">
        <v>2036</v>
      </c>
      <c r="C29" s="20">
        <f t="shared" si="0"/>
        <v>1.1725786449236986</v>
      </c>
      <c r="D29" s="110">
        <f t="shared" si="1"/>
        <v>2221.8723711201192</v>
      </c>
      <c r="E29" s="110">
        <f t="shared" si="2"/>
        <v>805.30879706581902</v>
      </c>
    </row>
    <row r="30" spans="1:5" x14ac:dyDescent="0.3">
      <c r="A30" s="8">
        <f>IF((B30&gt;(Inputs!$B$7+Inputs!$B$8)),0,IF((B30&lt;Inputs!$B$7),0,((B30-Inputs!$B$7))))</f>
        <v>9</v>
      </c>
      <c r="B30" s="19">
        <v>2037</v>
      </c>
      <c r="C30" s="20">
        <f t="shared" si="0"/>
        <v>1.1843044313729356</v>
      </c>
      <c r="D30" s="110">
        <f t="shared" si="1"/>
        <v>2244.0910948313208</v>
      </c>
      <c r="E30" s="110">
        <f t="shared" si="2"/>
        <v>760.15129442661441</v>
      </c>
    </row>
    <row r="31" spans="1:5" x14ac:dyDescent="0.3">
      <c r="A31" s="8">
        <f>IF((B31&gt;(Inputs!$B$7+Inputs!$B$8)),0,IF((B31&lt;Inputs!$B$7),0,((B31-Inputs!$B$7))))</f>
        <v>10</v>
      </c>
      <c r="B31" s="19">
        <v>2038</v>
      </c>
      <c r="C31" s="20">
        <f t="shared" si="0"/>
        <v>1.196147475686665</v>
      </c>
      <c r="D31" s="110">
        <f t="shared" si="1"/>
        <v>2266.5320057796343</v>
      </c>
      <c r="E31" s="110">
        <f t="shared" si="2"/>
        <v>717.52598819708476</v>
      </c>
    </row>
    <row r="32" spans="1:5" x14ac:dyDescent="0.3">
      <c r="A32" s="8">
        <f>IF((B32&gt;(Inputs!$B$7+Inputs!$B$8)),0,IF((B32&lt;Inputs!$B$7),0,((B32-Inputs!$B$7))))</f>
        <v>11</v>
      </c>
      <c r="B32" s="19">
        <v>2039</v>
      </c>
      <c r="C32" s="20">
        <f t="shared" si="0"/>
        <v>1.2081089504435316</v>
      </c>
      <c r="D32" s="110">
        <f t="shared" si="1"/>
        <v>2289.1973258374305</v>
      </c>
      <c r="E32" s="110">
        <f t="shared" si="2"/>
        <v>677.29088605519212</v>
      </c>
    </row>
    <row r="33" spans="1:6" x14ac:dyDescent="0.3">
      <c r="A33" s="8">
        <f>IF((B33&gt;(Inputs!$B$7+Inputs!$B$8)),0,IF((B33&lt;Inputs!$B$7),0,((B33-Inputs!$B$7))))</f>
        <v>12</v>
      </c>
      <c r="B33" s="19">
        <v>2040</v>
      </c>
      <c r="C33" s="20">
        <f t="shared" si="0"/>
        <v>1.220190039947967</v>
      </c>
      <c r="D33" s="110">
        <f t="shared" si="1"/>
        <v>2312.0892990958046</v>
      </c>
      <c r="E33" s="110">
        <f t="shared" si="2"/>
        <v>639.31195786518117</v>
      </c>
    </row>
    <row r="34" spans="1:6" x14ac:dyDescent="0.3">
      <c r="A34" s="8">
        <f>IF((B34&gt;(Inputs!$B$7+Inputs!$B$8)),0,IF((B34&lt;Inputs!$B$7),0,((B34-Inputs!$B$7))))</f>
        <v>13</v>
      </c>
      <c r="B34" s="19">
        <v>2041</v>
      </c>
      <c r="C34" s="20">
        <f t="shared" si="0"/>
        <v>1.2323919403474468</v>
      </c>
      <c r="D34" s="110">
        <f t="shared" si="1"/>
        <v>2335.2101920867631</v>
      </c>
      <c r="E34" s="110">
        <f t="shared" si="2"/>
        <v>603.46268919984414</v>
      </c>
    </row>
    <row r="35" spans="1:6" x14ac:dyDescent="0.3">
      <c r="A35" s="8">
        <f>IF((B35&gt;(Inputs!$B$7+Inputs!$B$8)),0,IF((B35&lt;Inputs!$B$7),0,((B35-Inputs!$B$7))))</f>
        <v>14</v>
      </c>
      <c r="B35" s="19">
        <v>2042</v>
      </c>
      <c r="C35" s="20">
        <f t="shared" si="0"/>
        <v>1.2447158597509214</v>
      </c>
      <c r="D35" s="110">
        <f t="shared" si="1"/>
        <v>2358.562294007631</v>
      </c>
      <c r="E35" s="110">
        <f t="shared" si="2"/>
        <v>569.62365989891828</v>
      </c>
    </row>
    <row r="36" spans="1:6" x14ac:dyDescent="0.3">
      <c r="A36" s="8">
        <f>IF((B36&gt;(Inputs!$B$7+Inputs!$B$8)),0,IF((B36&lt;Inputs!$B$7),0,((B36-Inputs!$B$7))))</f>
        <v>15</v>
      </c>
      <c r="B36" s="19">
        <v>2043</v>
      </c>
      <c r="C36" s="20">
        <f t="shared" si="0"/>
        <v>1.2571630183484306</v>
      </c>
      <c r="D36" s="110">
        <f t="shared" si="1"/>
        <v>2382.1479169477075</v>
      </c>
      <c r="E36" s="110">
        <f t="shared" si="2"/>
        <v>537.68214625972666</v>
      </c>
    </row>
    <row r="37" spans="1:6" x14ac:dyDescent="0.3">
      <c r="A37" s="8">
        <f>IF((B37&gt;(Inputs!$B$7+Inputs!$B$8)),0,IF((B37&lt;Inputs!$B$7),0,((B37-Inputs!$B$7))))</f>
        <v>16</v>
      </c>
      <c r="B37" s="19">
        <v>2044</v>
      </c>
      <c r="C37" s="20">
        <f t="shared" si="0"/>
        <v>1.269734648531915</v>
      </c>
      <c r="D37" s="110">
        <f t="shared" si="1"/>
        <v>2405.9693961171843</v>
      </c>
      <c r="E37" s="110">
        <f t="shared" si="2"/>
        <v>507.53174553488208</v>
      </c>
    </row>
    <row r="38" spans="1:6" x14ac:dyDescent="0.3">
      <c r="A38" s="8">
        <f>IF((B38&gt;(Inputs!$B$7+Inputs!$B$8)),0,IF((B38&lt;Inputs!$B$7),0,((B38-Inputs!$B$7))))</f>
        <v>17</v>
      </c>
      <c r="B38" s="19">
        <v>2045</v>
      </c>
      <c r="C38" s="20">
        <f t="shared" si="0"/>
        <v>1.282431995017234</v>
      </c>
      <c r="D38" s="110">
        <f t="shared" si="1"/>
        <v>2430.0290900783561</v>
      </c>
      <c r="E38" s="110">
        <f t="shared" si="2"/>
        <v>479.07202148619712</v>
      </c>
    </row>
    <row r="39" spans="1:6" x14ac:dyDescent="0.3">
      <c r="A39" s="8">
        <f>IF((B39&gt;(Inputs!$B$7+Inputs!$B$8)),0,IF((B39&lt;Inputs!$B$7),0,((B39-Inputs!$B$7))))</f>
        <v>18</v>
      </c>
      <c r="B39" s="19">
        <v>2046</v>
      </c>
      <c r="C39" s="20">
        <f t="shared" si="0"/>
        <v>1.2952563149674063</v>
      </c>
      <c r="D39" s="110">
        <f t="shared" si="1"/>
        <v>2454.3293809791398</v>
      </c>
      <c r="E39" s="110">
        <f t="shared" si="2"/>
        <v>452.20816981407393</v>
      </c>
    </row>
    <row r="40" spans="1:6" x14ac:dyDescent="0.3">
      <c r="A40" s="8">
        <f>IF((B40&gt;(Inputs!$B$7+Inputs!$B$8)),0,IF((B40&lt;Inputs!$B$7),0,((B40-Inputs!$B$7))))</f>
        <v>19</v>
      </c>
      <c r="B40" s="19">
        <v>2047</v>
      </c>
      <c r="C40" s="20">
        <f t="shared" si="0"/>
        <v>1.3082088781170804</v>
      </c>
      <c r="D40" s="110">
        <f t="shared" si="1"/>
        <v>2478.8726747889309</v>
      </c>
      <c r="E40" s="110">
        <f t="shared" ref="E40:E41" si="3">D40/((1+$B$2)^($B40-$B$3))</f>
        <v>426.85070234786411</v>
      </c>
    </row>
    <row r="41" spans="1:6" x14ac:dyDescent="0.3">
      <c r="A41" s="8">
        <f>IF((B41&gt;(Inputs!$B$7+Inputs!$B$8)),0,IF((B41&lt;Inputs!$B$7),0,((B41-Inputs!$B$7))))</f>
        <v>20</v>
      </c>
      <c r="B41" s="19">
        <v>2048</v>
      </c>
      <c r="C41" s="20">
        <f t="shared" si="0"/>
        <v>1.3212909668982513</v>
      </c>
      <c r="D41" s="153">
        <f>SUM($B$8*$C41)*$B$9*Inputs!$B$12</f>
        <v>1251.8307007684102</v>
      </c>
      <c r="E41" s="110">
        <f t="shared" si="3"/>
        <v>201.45757447259007</v>
      </c>
    </row>
    <row r="42" spans="1:6" x14ac:dyDescent="0.3">
      <c r="B42" s="36" t="s">
        <v>213</v>
      </c>
      <c r="C42" s="57"/>
      <c r="D42" s="111">
        <f>SUM(D21:D41)</f>
        <v>45405.854203194787</v>
      </c>
      <c r="E42" s="111">
        <f>SUM(E21:E41)</f>
        <v>15164.609079107162</v>
      </c>
      <c r="F42" s="90"/>
    </row>
  </sheetData>
  <hyperlinks>
    <hyperlink ref="D9" r:id="rId1" display="https://codot.gov/programs/research/pdfs/2022/wildlife-prioritization/eswps-bca-instructions" xr:uid="{10A24F8C-4E5A-42B5-889B-BB1A36127EC3}"/>
    <hyperlink ref="D8" r:id="rId2" display="https://codot.gov/programs/research/pdfs/2022/wildlife-prioritization/eswps-bca-instructions" xr:uid="{12308F57-2DE2-40BB-B28E-3681B1038AF1}"/>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T39"/>
  <sheetViews>
    <sheetView workbookViewId="0">
      <selection activeCell="D17" sqref="D17"/>
    </sheetView>
  </sheetViews>
  <sheetFormatPr defaultColWidth="9.109375" defaultRowHeight="14.4" x14ac:dyDescent="0.3"/>
  <cols>
    <col min="1" max="1" width="32.6640625" style="148" customWidth="1"/>
    <col min="2" max="2" width="10.33203125" style="3" customWidth="1"/>
    <col min="3" max="3" width="11.44140625" style="3" customWidth="1"/>
    <col min="4" max="4" width="14" style="3" customWidth="1"/>
    <col min="5" max="6" width="14.5546875" style="3" customWidth="1"/>
    <col min="7" max="7" width="8.33203125" style="3" customWidth="1"/>
    <col min="8" max="8" width="11" style="3" customWidth="1"/>
    <col min="9" max="9" width="11.5546875" style="3" bestFit="1" customWidth="1"/>
    <col min="10" max="10" width="14.5546875" style="3" customWidth="1"/>
    <col min="11" max="11" width="15.6640625" style="3" customWidth="1"/>
    <col min="12" max="12" width="18" style="3" customWidth="1"/>
    <col min="13" max="13" width="8.5546875" style="3" customWidth="1"/>
    <col min="14" max="14" width="10.5546875" style="3" customWidth="1"/>
    <col min="15" max="15" width="14.5546875" style="3" customWidth="1"/>
    <col min="16" max="16" width="15.6640625" style="3" customWidth="1"/>
    <col min="17" max="17" width="18" style="3" customWidth="1"/>
    <col min="18" max="18" width="17.33203125" style="3" customWidth="1"/>
    <col min="19" max="19" width="18.33203125" style="3" customWidth="1"/>
    <col min="20" max="20" width="14.5546875" style="3" customWidth="1"/>
    <col min="21" max="21" width="15.6640625" style="3" customWidth="1"/>
    <col min="22" max="22" width="18" style="3" customWidth="1"/>
    <col min="23" max="23" width="17.33203125" style="3" customWidth="1"/>
    <col min="24" max="24" width="18.33203125" style="3" customWidth="1"/>
    <col min="25" max="25" width="14.5546875" style="3" customWidth="1"/>
    <col min="26" max="26" width="15.6640625" style="3" customWidth="1"/>
    <col min="27" max="27" width="18" style="3" customWidth="1"/>
    <col min="28" max="28" width="17.33203125" style="3" customWidth="1"/>
    <col min="29" max="29" width="18.33203125" style="3" customWidth="1"/>
    <col min="30" max="30" width="14.5546875" style="3" customWidth="1"/>
    <col min="31" max="31" width="15.6640625" style="3" customWidth="1"/>
    <col min="32" max="32" width="18" style="3" customWidth="1"/>
    <col min="33" max="33" width="17.33203125" style="3" customWidth="1"/>
    <col min="34" max="34" width="18.33203125" style="3" customWidth="1"/>
    <col min="35" max="35" width="14.5546875" style="3" customWidth="1"/>
    <col min="36" max="36" width="15.6640625" style="3" customWidth="1"/>
    <col min="37" max="37" width="18" style="3" customWidth="1"/>
    <col min="38" max="38" width="17.33203125" style="3" customWidth="1"/>
    <col min="39" max="39" width="18.33203125" style="3" customWidth="1"/>
    <col min="40" max="40" width="14.5546875" style="3" customWidth="1"/>
    <col min="41" max="41" width="15.6640625" style="3" customWidth="1"/>
    <col min="42" max="42" width="18" style="3" customWidth="1"/>
    <col min="43" max="43" width="17.33203125" style="3" customWidth="1"/>
    <col min="44" max="44" width="18.33203125" style="3" customWidth="1"/>
    <col min="45" max="45" width="14.5546875" style="3" customWidth="1"/>
    <col min="46" max="46" width="15.6640625" style="3" customWidth="1"/>
    <col min="47" max="47" width="18" style="3" customWidth="1"/>
    <col min="48" max="48" width="17.33203125" style="3" customWidth="1"/>
    <col min="49" max="49" width="18.33203125" style="3" customWidth="1"/>
    <col min="50" max="50" width="14.5546875" style="3" customWidth="1"/>
    <col min="51" max="51" width="15.6640625" style="3" customWidth="1"/>
    <col min="52" max="52" width="18" style="3" customWidth="1"/>
    <col min="53" max="53" width="17.33203125" style="3" customWidth="1"/>
    <col min="54" max="54" width="18.33203125" style="3" customWidth="1"/>
    <col min="55" max="55" width="14.5546875" style="3" customWidth="1"/>
    <col min="56" max="56" width="15.6640625" style="3" customWidth="1"/>
    <col min="57" max="57" width="18" style="3" customWidth="1"/>
    <col min="58" max="58" width="17.33203125" style="3" customWidth="1"/>
    <col min="59" max="59" width="18.33203125" style="3" customWidth="1"/>
    <col min="60" max="60" width="14.5546875" style="3" customWidth="1"/>
    <col min="61" max="61" width="15.6640625" style="3" customWidth="1"/>
    <col min="62" max="62" width="18" style="3" customWidth="1"/>
    <col min="63" max="63" width="17.33203125" style="3" customWidth="1"/>
    <col min="64" max="64" width="18.33203125" style="3" customWidth="1"/>
    <col min="65" max="65" width="14.5546875" style="3" customWidth="1"/>
    <col min="66" max="66" width="15.6640625" style="3" customWidth="1"/>
    <col min="67" max="16384" width="9.109375" style="3"/>
  </cols>
  <sheetData>
    <row r="1" spans="1:46" x14ac:dyDescent="0.3">
      <c r="A1" s="5" t="s">
        <v>214</v>
      </c>
    </row>
    <row r="2" spans="1:46" x14ac:dyDescent="0.3">
      <c r="A2" s="3" t="s">
        <v>215</v>
      </c>
    </row>
    <row r="4" spans="1:46" x14ac:dyDescent="0.3">
      <c r="A4" s="215" t="str">
        <f>Inputs!A3</f>
        <v xml:space="preserve">Discount Rate </v>
      </c>
      <c r="B4" s="215">
        <f>Inputs!B3</f>
        <v>7.0000000000000007E-2</v>
      </c>
    </row>
    <row r="5" spans="1:46" x14ac:dyDescent="0.3">
      <c r="A5" s="141" t="str">
        <f>Inputs!A10</f>
        <v>Discount year</v>
      </c>
      <c r="B5" s="141">
        <f>Inputs!B10</f>
        <v>2021</v>
      </c>
    </row>
    <row r="6" spans="1:46" x14ac:dyDescent="0.3">
      <c r="A6" s="141" t="str">
        <f>Inputs!A11</f>
        <v>Benefit Year</v>
      </c>
      <c r="B6" s="141">
        <f>Inputs!B11</f>
        <v>2028</v>
      </c>
    </row>
    <row r="7" spans="1:46" x14ac:dyDescent="0.3">
      <c r="A7" s="158" t="str">
        <f>Inputs!A32</f>
        <v>Value of Time (2021$), all purposes</v>
      </c>
      <c r="B7" s="204">
        <f>Inputs!B32</f>
        <v>18.8</v>
      </c>
    </row>
    <row r="8" spans="1:46" ht="28.8" x14ac:dyDescent="0.3">
      <c r="A8" s="158" t="str">
        <f>Inputs!A33</f>
        <v>Value of Time, (2021$), truck driver per hour</v>
      </c>
      <c r="B8" s="204">
        <f>Inputs!B33</f>
        <v>32.4</v>
      </c>
    </row>
    <row r="9" spans="1:46" ht="28.8" x14ac:dyDescent="0.3">
      <c r="A9" s="158" t="str">
        <f>Inputs!A34</f>
        <v>Truck operating costs per hour (2021$)</v>
      </c>
      <c r="B9" s="204">
        <f>Inputs!B34</f>
        <v>55.971845469705386</v>
      </c>
    </row>
    <row r="10" spans="1:46" ht="28.8" x14ac:dyDescent="0.3">
      <c r="A10" s="239" t="str">
        <f>Inputs!A20</f>
        <v>Average Corridor Travel Time Savings (hr per veh)</v>
      </c>
      <c r="B10" s="218">
        <f>Inputs!B20</f>
        <v>0.11666666666666667</v>
      </c>
      <c r="C10" s="54"/>
    </row>
    <row r="11" spans="1:46" ht="28.8" x14ac:dyDescent="0.3">
      <c r="A11" s="158" t="str">
        <f>Inputs!A26</f>
        <v>Average Passenger Vehicle Occupancy, all travel</v>
      </c>
      <c r="B11" s="141">
        <f>Inputs!B26</f>
        <v>1.67</v>
      </c>
    </row>
    <row r="12" spans="1:46" x14ac:dyDescent="0.3">
      <c r="A12" s="158" t="str">
        <f>Inputs!$A$15</f>
        <v>Annualization Factor</v>
      </c>
      <c r="B12" s="141">
        <f>Inputs!$B$15</f>
        <v>320</v>
      </c>
    </row>
    <row r="13" spans="1:46" x14ac:dyDescent="0.3">
      <c r="A13" s="3"/>
    </row>
    <row r="14" spans="1:46" x14ac:dyDescent="0.3">
      <c r="AS14" s="168"/>
      <c r="AT14" s="168"/>
    </row>
    <row r="15" spans="1:46" x14ac:dyDescent="0.3">
      <c r="B15" s="3" t="s">
        <v>216</v>
      </c>
      <c r="F15" s="168"/>
      <c r="H15" s="3" t="s">
        <v>217</v>
      </c>
      <c r="L15" s="168"/>
      <c r="N15" s="3" t="s">
        <v>218</v>
      </c>
    </row>
    <row r="16" spans="1:46" ht="57.6" x14ac:dyDescent="0.3">
      <c r="A16" s="18" t="s">
        <v>132</v>
      </c>
      <c r="B16" s="18" t="s">
        <v>133</v>
      </c>
      <c r="C16" s="18" t="s">
        <v>219</v>
      </c>
      <c r="D16" s="18" t="s">
        <v>220</v>
      </c>
      <c r="E16" s="170" t="s">
        <v>221</v>
      </c>
      <c r="F16" s="18" t="s">
        <v>222</v>
      </c>
      <c r="H16" s="18" t="s">
        <v>133</v>
      </c>
      <c r="I16" s="18" t="s">
        <v>223</v>
      </c>
      <c r="J16" s="18" t="s">
        <v>220</v>
      </c>
      <c r="K16" s="170" t="s">
        <v>224</v>
      </c>
      <c r="L16" s="18" t="s">
        <v>222</v>
      </c>
      <c r="N16" s="18" t="s">
        <v>133</v>
      </c>
      <c r="O16" s="18" t="s">
        <v>223</v>
      </c>
      <c r="P16" s="18" t="s">
        <v>225</v>
      </c>
      <c r="Q16" s="170" t="s">
        <v>226</v>
      </c>
      <c r="R16" s="18" t="s">
        <v>227</v>
      </c>
    </row>
    <row r="17" spans="1:18" x14ac:dyDescent="0.3">
      <c r="A17" s="194">
        <f>IF((B17&gt;(Inputs!$B$7+Inputs!$B$8)),0,IF((B17&lt;Inputs!$B$7),0,((B17-Inputs!$B$7))))</f>
        <v>0</v>
      </c>
      <c r="B17" s="171">
        <f>B6</f>
        <v>2028</v>
      </c>
      <c r="C17" s="240">
        <f>VLOOKUP(B17,TrafficData!B1:E47,4,0)</f>
        <v>6185.8636952444886</v>
      </c>
      <c r="D17" s="210">
        <f>SUM(C17*$B$11)*$B$10*$B$12</f>
        <v>385667.98185284302</v>
      </c>
      <c r="E17" s="323">
        <f>SUM(D17*$B$7)*Inputs!$B$12</f>
        <v>3625279.0294167246</v>
      </c>
      <c r="F17" s="324">
        <f>ROUND($E17/((1+B$4)^($B17-$B$5)),0)</f>
        <v>2257642</v>
      </c>
      <c r="H17" s="171">
        <f>B17</f>
        <v>2028</v>
      </c>
      <c r="I17" s="240">
        <f>_xlfn.XLOOKUP(H17,TrafficData!$B$8:$B$48,TrafficData!$D$8:$D$48)</f>
        <v>394.84236352624396</v>
      </c>
      <c r="J17" s="210">
        <f>I17*$B$10*$B$12</f>
        <v>14740.781571646441</v>
      </c>
      <c r="K17" s="323">
        <f>J17*($B$8)*Inputs!$B$12</f>
        <v>238800.66146067233</v>
      </c>
      <c r="L17" s="172">
        <f>ROUND($K17/((1+B$4)^($H17-$B$5)),0)</f>
        <v>148713</v>
      </c>
      <c r="N17" s="171">
        <f>H17</f>
        <v>2028</v>
      </c>
      <c r="O17" s="210">
        <f>I17</f>
        <v>394.84236352624396</v>
      </c>
      <c r="P17" s="210">
        <f>J17</f>
        <v>14740.781571646441</v>
      </c>
      <c r="Q17" s="323">
        <f>P17*($B$9)*Inputs!$B$12</f>
        <v>412534.37411543773</v>
      </c>
      <c r="R17" s="172">
        <f>ROUND($Q17/((1+B$4)^($N17-$B$5)),0)</f>
        <v>256906</v>
      </c>
    </row>
    <row r="18" spans="1:18" x14ac:dyDescent="0.3">
      <c r="A18" s="194">
        <f>IF((B18&gt;(Inputs!$B$7+Inputs!$B$8)),0,IF((B18&lt;Inputs!$B$7),0,((B18-Inputs!$B$7))))</f>
        <v>1</v>
      </c>
      <c r="B18" s="171">
        <f>B17+1</f>
        <v>2029</v>
      </c>
      <c r="C18" s="210">
        <f>VLOOKUP(B18,TrafficData!B2:E48,4,0)</f>
        <v>6382.2332763261056</v>
      </c>
      <c r="D18" s="210">
        <f t="shared" ref="D18:D36" si="0">SUM(C18*$B$11)*$B$10*$B$12</f>
        <v>397910.97066801158</v>
      </c>
      <c r="E18" s="172">
        <f t="shared" ref="E18:E36" si="1">SUM(D18*$B$7)</f>
        <v>7480726.2485586181</v>
      </c>
      <c r="F18" s="172">
        <f t="shared" ref="F18:F36" si="2">ROUND($E18/((1+B$4)^($B18-$B$5)),0)</f>
        <v>4353851</v>
      </c>
      <c r="H18" s="171">
        <f>H17+1</f>
        <v>2029</v>
      </c>
      <c r="I18" s="240">
        <f>_xlfn.XLOOKUP(H18,TrafficData!$B$8:$B$48,TrafficData!$D$8:$D$48)</f>
        <v>407.37659210592159</v>
      </c>
      <c r="J18" s="210">
        <f t="shared" ref="J18:J36" si="3">I18*$B$10*$B$12</f>
        <v>15208.72610528774</v>
      </c>
      <c r="K18" s="172">
        <f t="shared" ref="K18:K36" si="4">J18*($B$8)</f>
        <v>492762.72581132274</v>
      </c>
      <c r="L18" s="172">
        <f t="shared" ref="L18:L36" si="5">ROUND($K18/((1+B$4)^($H18-$B$5)),0)</f>
        <v>286792</v>
      </c>
      <c r="N18" s="171">
        <f>N17+1</f>
        <v>2029</v>
      </c>
      <c r="O18" s="210">
        <f t="shared" ref="O18:O36" si="6">I18</f>
        <v>407.37659210592159</v>
      </c>
      <c r="P18" s="210">
        <f t="shared" ref="P18:P36" si="7">J18</f>
        <v>15208.72610528774</v>
      </c>
      <c r="Q18" s="172">
        <f t="shared" ref="Q18:Q36" si="8">P18*($B$9)</f>
        <v>851260.46735623968</v>
      </c>
      <c r="R18" s="172">
        <f t="shared" ref="R18:R36" si="9">ROUND($Q18/((1+B$4)^($N18-$B$5)),0)</f>
        <v>495441</v>
      </c>
    </row>
    <row r="19" spans="1:18" x14ac:dyDescent="0.3">
      <c r="A19" s="194">
        <f>IF((B19&gt;(Inputs!$B$7+Inputs!$B$8)),0,IF((B19&lt;Inputs!$B$7),0,((B19-Inputs!$B$7))))</f>
        <v>2</v>
      </c>
      <c r="B19" s="171">
        <f t="shared" ref="B19:B37" si="10">B18+1</f>
        <v>2030</v>
      </c>
      <c r="C19" s="210">
        <f>VLOOKUP(B19,TrafficData!B3:E49,4,0)</f>
        <v>6584.8365887464524</v>
      </c>
      <c r="D19" s="210">
        <f t="shared" si="0"/>
        <v>410542.61185304547</v>
      </c>
      <c r="E19" s="172">
        <f t="shared" si="1"/>
        <v>7718201.1028372552</v>
      </c>
      <c r="F19" s="172">
        <f t="shared" si="2"/>
        <v>4198190</v>
      </c>
      <c r="H19" s="171">
        <f t="shared" ref="H19:H37" si="11">H18+1</f>
        <v>2030</v>
      </c>
      <c r="I19" s="240">
        <f>_xlfn.XLOOKUP(H19,TrafficData!$B$8:$B$48,TrafficData!$D$8:$D$48)</f>
        <v>420.30871843062465</v>
      </c>
      <c r="J19" s="210">
        <f t="shared" si="3"/>
        <v>15691.525488076655</v>
      </c>
      <c r="K19" s="172">
        <f t="shared" si="4"/>
        <v>508405.4258136836</v>
      </c>
      <c r="L19" s="172">
        <f t="shared" si="5"/>
        <v>276539</v>
      </c>
      <c r="N19" s="171">
        <f t="shared" ref="N19:N37" si="12">N18+1</f>
        <v>2030</v>
      </c>
      <c r="O19" s="210">
        <f t="shared" si="6"/>
        <v>420.30871843062465</v>
      </c>
      <c r="P19" s="210">
        <f t="shared" si="7"/>
        <v>15691.525488076655</v>
      </c>
      <c r="Q19" s="172">
        <f t="shared" si="8"/>
        <v>878283.63980256987</v>
      </c>
      <c r="R19" s="172">
        <f t="shared" si="9"/>
        <v>477728</v>
      </c>
    </row>
    <row r="20" spans="1:18" x14ac:dyDescent="0.3">
      <c r="A20" s="194">
        <f>IF((B20&gt;(Inputs!$B$7+Inputs!$B$8)),0,IF((B20&lt;Inputs!$B$7),0,((B20-Inputs!$B$7))))</f>
        <v>3</v>
      </c>
      <c r="B20" s="171">
        <f t="shared" si="10"/>
        <v>2031</v>
      </c>
      <c r="C20" s="210">
        <f>VLOOKUP(B20,TrafficData!B4:E50,4,0)</f>
        <v>6793.8715216398341</v>
      </c>
      <c r="D20" s="210">
        <f t="shared" si="0"/>
        <v>423575.24313583819</v>
      </c>
      <c r="E20" s="172">
        <f t="shared" si="1"/>
        <v>7963214.5709537584</v>
      </c>
      <c r="F20" s="172">
        <f t="shared" si="2"/>
        <v>4048094</v>
      </c>
      <c r="H20" s="171">
        <f t="shared" si="11"/>
        <v>2031</v>
      </c>
      <c r="I20" s="240">
        <f>_xlfn.XLOOKUP(H20,TrafficData!$B$8:$B$48,TrafficData!$D$8:$D$48)</f>
        <v>433.65137372169153</v>
      </c>
      <c r="J20" s="210">
        <f t="shared" si="3"/>
        <v>16189.651285609818</v>
      </c>
      <c r="K20" s="172">
        <f t="shared" si="4"/>
        <v>524544.70165375806</v>
      </c>
      <c r="L20" s="172">
        <f t="shared" si="5"/>
        <v>266652</v>
      </c>
      <c r="N20" s="171">
        <f t="shared" si="12"/>
        <v>2031</v>
      </c>
      <c r="O20" s="210">
        <f t="shared" si="6"/>
        <v>433.65137372169153</v>
      </c>
      <c r="P20" s="210">
        <f t="shared" si="7"/>
        <v>16189.651285609818</v>
      </c>
      <c r="Q20" s="172">
        <f t="shared" si="8"/>
        <v>906164.65996656986</v>
      </c>
      <c r="R20" s="172">
        <f t="shared" si="9"/>
        <v>460648</v>
      </c>
    </row>
    <row r="21" spans="1:18" x14ac:dyDescent="0.3">
      <c r="A21" s="194">
        <f>IF((B21&gt;(Inputs!$B$7+Inputs!$B$8)),0,IF((B21&lt;Inputs!$B$7),0,((B21-Inputs!$B$7))))</f>
        <v>4</v>
      </c>
      <c r="B21" s="171">
        <f>B20+1</f>
        <v>2032</v>
      </c>
      <c r="C21" s="210">
        <f>VLOOKUP(B21,TrafficData!B5:E51,4,0)</f>
        <v>7009.5422461099452</v>
      </c>
      <c r="D21" s="210">
        <f t="shared" si="0"/>
        <v>437021.5939041347</v>
      </c>
      <c r="E21" s="172">
        <f t="shared" si="1"/>
        <v>8216005.9653977323</v>
      </c>
      <c r="F21" s="172">
        <f t="shared" si="2"/>
        <v>3903365</v>
      </c>
      <c r="H21" s="171">
        <f>H20+1</f>
        <v>2032</v>
      </c>
      <c r="I21" s="240">
        <f>_xlfn.XLOOKUP(H21,TrafficData!$B$8:$B$48,TrafficData!$D$8:$D$48)</f>
        <v>447.41759017723052</v>
      </c>
      <c r="J21" s="210">
        <f t="shared" si="3"/>
        <v>16703.590033283275</v>
      </c>
      <c r="K21" s="172">
        <f>J21*($B$8)</f>
        <v>541196.31707837805</v>
      </c>
      <c r="L21" s="172">
        <f t="shared" si="5"/>
        <v>257118</v>
      </c>
      <c r="N21" s="171">
        <f>N20+1</f>
        <v>2032</v>
      </c>
      <c r="O21" s="210">
        <f t="shared" si="6"/>
        <v>447.41759017723052</v>
      </c>
      <c r="P21" s="210">
        <f t="shared" si="7"/>
        <v>16703.590033283275</v>
      </c>
      <c r="Q21" s="172">
        <f>P21*($B$9)</f>
        <v>934930.76013224258</v>
      </c>
      <c r="R21" s="172">
        <f t="shared" si="9"/>
        <v>444179</v>
      </c>
    </row>
    <row r="22" spans="1:18" x14ac:dyDescent="0.3">
      <c r="A22" s="194">
        <f>IF((B22&gt;(Inputs!$B$7+Inputs!$B$8)),0,IF((B22&lt;Inputs!$B$7),0,((B22-Inputs!$B$7))))</f>
        <v>5</v>
      </c>
      <c r="B22" s="171">
        <f>B21+1</f>
        <v>2033</v>
      </c>
      <c r="C22" s="210">
        <f>VLOOKUP(B22,TrafficData!B6:E52,4,0)</f>
        <v>7232.059414650319</v>
      </c>
      <c r="D22" s="210">
        <f t="shared" si="0"/>
        <v>450894.79763873183</v>
      </c>
      <c r="E22" s="172">
        <f t="shared" si="1"/>
        <v>8476822.1956081595</v>
      </c>
      <c r="F22" s="172">
        <f t="shared" si="2"/>
        <v>3763810</v>
      </c>
      <c r="H22" s="171">
        <f>H21+1</f>
        <v>2033</v>
      </c>
      <c r="I22" s="240">
        <f>_xlfn.XLOOKUP(H22,TrafficData!$B$8:$B$48,TrafficData!$D$8:$D$48)</f>
        <v>461.62081370108422</v>
      </c>
      <c r="J22" s="210">
        <f t="shared" si="3"/>
        <v>17233.843711507147</v>
      </c>
      <c r="K22" s="172">
        <f t="shared" si="4"/>
        <v>558376.53625283157</v>
      </c>
      <c r="L22" s="172">
        <f t="shared" si="5"/>
        <v>247926</v>
      </c>
      <c r="N22" s="171">
        <f>N21+1</f>
        <v>2033</v>
      </c>
      <c r="O22" s="210">
        <f t="shared" si="6"/>
        <v>461.62081370108422</v>
      </c>
      <c r="P22" s="210">
        <f t="shared" si="7"/>
        <v>17233.843711507147</v>
      </c>
      <c r="Q22" s="172">
        <f t="shared" si="8"/>
        <v>964610.03706953197</v>
      </c>
      <c r="R22" s="172">
        <f t="shared" si="9"/>
        <v>428298</v>
      </c>
    </row>
    <row r="23" spans="1:18" x14ac:dyDescent="0.3">
      <c r="A23" s="194">
        <f>IF((B23&gt;(Inputs!$B$7+Inputs!$B$8)),0,IF((B23&lt;Inputs!$B$7),0,((B23-Inputs!$B$7))))</f>
        <v>6</v>
      </c>
      <c r="B23" s="171">
        <f t="shared" si="10"/>
        <v>2034</v>
      </c>
      <c r="C23" s="210">
        <f>VLOOKUP(B23,TrafficData!B7:E53,4,0)</f>
        <v>7461.6403668953571</v>
      </c>
      <c r="D23" s="210">
        <f t="shared" si="0"/>
        <v>465208.40474136925</v>
      </c>
      <c r="E23" s="172">
        <f t="shared" si="1"/>
        <v>8745918.0091377422</v>
      </c>
      <c r="F23" s="172">
        <f t="shared" si="2"/>
        <v>3629245</v>
      </c>
      <c r="H23" s="171">
        <f t="shared" si="11"/>
        <v>2034</v>
      </c>
      <c r="I23" s="240">
        <f>_xlfn.XLOOKUP(H23,TrafficData!$B$8:$B$48,TrafficData!$D$8:$D$48)</f>
        <v>476.27491703587384</v>
      </c>
      <c r="J23" s="210">
        <f t="shared" si="3"/>
        <v>17780.930236005956</v>
      </c>
      <c r="K23" s="172">
        <f t="shared" si="4"/>
        <v>576102.1396465929</v>
      </c>
      <c r="L23" s="172">
        <f t="shared" si="5"/>
        <v>239062</v>
      </c>
      <c r="N23" s="171">
        <f t="shared" si="12"/>
        <v>2034</v>
      </c>
      <c r="O23" s="210">
        <f t="shared" si="6"/>
        <v>476.27491703587384</v>
      </c>
      <c r="P23" s="210">
        <f t="shared" si="7"/>
        <v>17780.930236005956</v>
      </c>
      <c r="Q23" s="172">
        <f t="shared" si="8"/>
        <v>995231.47947733745</v>
      </c>
      <c r="R23" s="172">
        <f t="shared" si="9"/>
        <v>412986</v>
      </c>
    </row>
    <row r="24" spans="1:18" x14ac:dyDescent="0.3">
      <c r="A24" s="194">
        <f>IF((B24&gt;(Inputs!$B$7+Inputs!$B$8)),0,IF((B24&lt;Inputs!$B$7),0,((B24-Inputs!$B$7))))</f>
        <v>7</v>
      </c>
      <c r="B24" s="171">
        <f t="shared" si="10"/>
        <v>2035</v>
      </c>
      <c r="C24" s="210">
        <f>VLOOKUP(B24,TrafficData!B8:E54,4,0)</f>
        <v>7698.5093419028972</v>
      </c>
      <c r="D24" s="210">
        <f t="shared" si="0"/>
        <v>479976.39576983929</v>
      </c>
      <c r="E24" s="172">
        <f t="shared" si="1"/>
        <v>9023556.2404729798</v>
      </c>
      <c r="F24" s="172">
        <f t="shared" si="2"/>
        <v>3499491</v>
      </c>
      <c r="H24" s="171">
        <f t="shared" si="11"/>
        <v>2035</v>
      </c>
      <c r="I24" s="240">
        <f>_xlfn.XLOOKUP(H24,TrafficData!$B$8:$B$48,TrafficData!$D$8:$D$48)</f>
        <v>491.39421331295091</v>
      </c>
      <c r="J24" s="210">
        <f t="shared" si="3"/>
        <v>18345.3839636835</v>
      </c>
      <c r="K24" s="172">
        <f t="shared" si="4"/>
        <v>594390.44042334543</v>
      </c>
      <c r="L24" s="172">
        <f>ROUND($K24/((1+B$4)^($H24-$B$5)),0)</f>
        <v>230515</v>
      </c>
      <c r="N24" s="171">
        <f t="shared" si="12"/>
        <v>2035</v>
      </c>
      <c r="O24" s="210">
        <f t="shared" si="6"/>
        <v>491.39421331295091</v>
      </c>
      <c r="P24" s="210">
        <f t="shared" si="7"/>
        <v>18345.3839636835</v>
      </c>
      <c r="Q24" s="172">
        <f t="shared" si="8"/>
        <v>1026824.9962977042</v>
      </c>
      <c r="R24" s="172">
        <f t="shared" si="9"/>
        <v>398220</v>
      </c>
    </row>
    <row r="25" spans="1:18" x14ac:dyDescent="0.3">
      <c r="A25" s="194">
        <f>IF((B25&gt;(Inputs!$B$7+Inputs!$B$8)),0,IF((B25&lt;Inputs!$B$7),0,((B25-Inputs!$B$7))))</f>
        <v>8</v>
      </c>
      <c r="B25" s="171">
        <f t="shared" si="10"/>
        <v>2036</v>
      </c>
      <c r="C25" s="210">
        <f>VLOOKUP(B25,TrafficData!B9:E55,4,0)</f>
        <v>7942.8976971756729</v>
      </c>
      <c r="D25" s="210">
        <f t="shared" si="0"/>
        <v>495213.19509324594</v>
      </c>
      <c r="E25" s="172">
        <f t="shared" si="1"/>
        <v>9310008.0677530244</v>
      </c>
      <c r="F25" s="172">
        <f t="shared" si="2"/>
        <v>3374375</v>
      </c>
      <c r="H25" s="171">
        <f t="shared" si="11"/>
        <v>2036</v>
      </c>
      <c r="I25" s="240">
        <f>_xlfn.XLOOKUP(H25,TrafficData!$B$8:$B$48,TrafficData!$D$8:$D$48)</f>
        <v>506.99347003248977</v>
      </c>
      <c r="J25" s="210">
        <f>I25*$B$10*$B$12</f>
        <v>18927.756214546283</v>
      </c>
      <c r="K25" s="172">
        <f t="shared" si="4"/>
        <v>613259.30135129951</v>
      </c>
      <c r="L25" s="172">
        <f t="shared" si="5"/>
        <v>222273</v>
      </c>
      <c r="N25" s="171">
        <f t="shared" si="12"/>
        <v>2036</v>
      </c>
      <c r="O25" s="210">
        <f t="shared" si="6"/>
        <v>506.99347003248977</v>
      </c>
      <c r="P25" s="210">
        <f t="shared" si="7"/>
        <v>18927.756214546283</v>
      </c>
      <c r="Q25" s="172">
        <f t="shared" si="8"/>
        <v>1059421.4459288404</v>
      </c>
      <c r="R25" s="172">
        <f t="shared" si="9"/>
        <v>383983</v>
      </c>
    </row>
    <row r="26" spans="1:18" x14ac:dyDescent="0.3">
      <c r="A26" s="194">
        <f>IF((B26&gt;(Inputs!$B$7+Inputs!$B$8)),0,IF((B26&lt;Inputs!$B$7),0,((B26-Inputs!$B$7))))</f>
        <v>9</v>
      </c>
      <c r="B26" s="171">
        <f t="shared" si="10"/>
        <v>2037</v>
      </c>
      <c r="C26" s="210">
        <f>VLOOKUP(B26,TrafficData!B10:E56,4,0)</f>
        <v>8195.0441346355892</v>
      </c>
      <c r="D26" s="210">
        <f t="shared" si="0"/>
        <v>510933.68498074682</v>
      </c>
      <c r="E26" s="172">
        <f t="shared" si="1"/>
        <v>9605553.2776380405</v>
      </c>
      <c r="F26" s="172">
        <f t="shared" si="2"/>
        <v>3253733</v>
      </c>
      <c r="H26" s="171">
        <f t="shared" si="11"/>
        <v>2037</v>
      </c>
      <c r="I26" s="240">
        <f>_xlfn.XLOOKUP(H26,TrafficData!$B$8:$B$48,TrafficData!$D$8:$D$48)</f>
        <v>523.08792348737802</v>
      </c>
      <c r="J26" s="210">
        <f t="shared" si="3"/>
        <v>19528.615810195446</v>
      </c>
      <c r="K26" s="172">
        <f t="shared" si="4"/>
        <v>632727.15225033241</v>
      </c>
      <c r="L26" s="172">
        <f t="shared" si="5"/>
        <v>214327</v>
      </c>
      <c r="N26" s="171">
        <f t="shared" si="12"/>
        <v>2037</v>
      </c>
      <c r="O26" s="210">
        <f t="shared" si="6"/>
        <v>523.08792348737802</v>
      </c>
      <c r="P26" s="210">
        <f t="shared" si="7"/>
        <v>19528.615810195446</v>
      </c>
      <c r="Q26" s="172">
        <f t="shared" si="8"/>
        <v>1093052.666365505</v>
      </c>
      <c r="R26" s="172">
        <f t="shared" si="9"/>
        <v>370255</v>
      </c>
    </row>
    <row r="27" spans="1:18" x14ac:dyDescent="0.3">
      <c r="A27" s="194">
        <f>IF((B27&gt;(Inputs!$B$7+Inputs!$B$8)),0,IF((B27&lt;Inputs!$B$7),0,((B27-Inputs!$B$7))))</f>
        <v>10</v>
      </c>
      <c r="B27" s="171">
        <f t="shared" si="10"/>
        <v>2038</v>
      </c>
      <c r="C27" s="210">
        <f>VLOOKUP(B27,TrafficData!B11:E57,4,0)</f>
        <v>8455.1949337715105</v>
      </c>
      <c r="D27" s="210">
        <f t="shared" si="0"/>
        <v>527153.22013754118</v>
      </c>
      <c r="E27" s="172">
        <f t="shared" si="1"/>
        <v>9910480.5385857746</v>
      </c>
      <c r="F27" s="172">
        <f t="shared" si="2"/>
        <v>3137404</v>
      </c>
      <c r="H27" s="171">
        <f t="shared" si="11"/>
        <v>2038</v>
      </c>
      <c r="I27" s="240">
        <f>_xlfn.XLOOKUP(H27,TrafficData!$B$8:$B$48,TrafficData!$D$8:$D$48)</f>
        <v>539.69329364499004</v>
      </c>
      <c r="J27" s="210">
        <f t="shared" si="3"/>
        <v>20148.549629412963</v>
      </c>
      <c r="K27" s="172">
        <f t="shared" si="4"/>
        <v>652813.00799297995</v>
      </c>
      <c r="L27" s="172">
        <f t="shared" si="5"/>
        <v>206664</v>
      </c>
      <c r="N27" s="171">
        <f t="shared" si="12"/>
        <v>2038</v>
      </c>
      <c r="O27" s="210">
        <f t="shared" si="6"/>
        <v>539.69329364499004</v>
      </c>
      <c r="P27" s="210">
        <f t="shared" si="7"/>
        <v>20148.549629412963</v>
      </c>
      <c r="Q27" s="172">
        <f t="shared" si="8"/>
        <v>1127751.5062961921</v>
      </c>
      <c r="R27" s="172">
        <f t="shared" si="9"/>
        <v>357017</v>
      </c>
    </row>
    <row r="28" spans="1:18" x14ac:dyDescent="0.3">
      <c r="A28" s="194">
        <f>IF((B28&gt;(Inputs!$B$7+Inputs!$B$8)),0,IF((B28&lt;Inputs!$B$7),0,((B28-Inputs!$B$7))))</f>
        <v>11</v>
      </c>
      <c r="B28" s="171">
        <f t="shared" si="10"/>
        <v>2039</v>
      </c>
      <c r="C28" s="210">
        <f>VLOOKUP(B28,TrafficData!B12:E58,4,0)</f>
        <v>8723.6041921883334</v>
      </c>
      <c r="D28" s="210">
        <f t="shared" si="0"/>
        <v>543887.64270230196</v>
      </c>
      <c r="E28" s="172">
        <f t="shared" si="1"/>
        <v>10225087.682803277</v>
      </c>
      <c r="F28" s="172">
        <f t="shared" si="2"/>
        <v>3025234</v>
      </c>
      <c r="H28" s="171">
        <f t="shared" si="11"/>
        <v>2039</v>
      </c>
      <c r="I28" s="240">
        <f>_xlfn.XLOOKUP(H28,TrafficData!$B$8:$B$48,TrafficData!$D$8:$D$48)</f>
        <v>556.8257995013829</v>
      </c>
      <c r="J28" s="210">
        <f t="shared" si="3"/>
        <v>20788.16318138496</v>
      </c>
      <c r="K28" s="172">
        <f t="shared" si="4"/>
        <v>673536.48707687273</v>
      </c>
      <c r="L28" s="172">
        <f t="shared" si="5"/>
        <v>199275</v>
      </c>
      <c r="N28" s="171">
        <f t="shared" si="12"/>
        <v>2039</v>
      </c>
      <c r="O28" s="210">
        <f t="shared" si="6"/>
        <v>556.8257995013829</v>
      </c>
      <c r="P28" s="210">
        <f t="shared" si="7"/>
        <v>20788.16318138496</v>
      </c>
      <c r="Q28" s="172">
        <f t="shared" si="8"/>
        <v>1163551.8571874981</v>
      </c>
      <c r="R28" s="172">
        <f t="shared" si="9"/>
        <v>344253</v>
      </c>
    </row>
    <row r="29" spans="1:18" x14ac:dyDescent="0.3">
      <c r="A29" s="194">
        <f>IF((B29&gt;(Inputs!$B$7+Inputs!$B$8)),0,IF((B29&lt;Inputs!$B$7),0,((B29-Inputs!$B$7))))</f>
        <v>12</v>
      </c>
      <c r="B29" s="171">
        <f t="shared" si="10"/>
        <v>2040</v>
      </c>
      <c r="C29" s="210">
        <f>VLOOKUP(B29,TrafficData!B13:E59,4,0)</f>
        <v>9000.5340737922234</v>
      </c>
      <c r="D29" s="210">
        <f t="shared" si="0"/>
        <v>561153.29772069911</v>
      </c>
      <c r="E29" s="172">
        <f t="shared" si="1"/>
        <v>10549681.997149143</v>
      </c>
      <c r="F29" s="172">
        <f t="shared" si="2"/>
        <v>2917075</v>
      </c>
      <c r="H29" s="171">
        <f t="shared" si="11"/>
        <v>2040</v>
      </c>
      <c r="I29" s="240">
        <f>_xlfn.XLOOKUP(H29,TrafficData!$B$8:$B$48,TrafficData!$D$8:$D$48)</f>
        <v>574.50217492290778</v>
      </c>
      <c r="J29" s="210">
        <f t="shared" si="3"/>
        <v>21448.081197121894</v>
      </c>
      <c r="K29" s="172">
        <f t="shared" si="4"/>
        <v>694917.83078674937</v>
      </c>
      <c r="L29" s="172">
        <f t="shared" si="5"/>
        <v>192151</v>
      </c>
      <c r="N29" s="171">
        <f t="shared" si="12"/>
        <v>2040</v>
      </c>
      <c r="O29" s="210">
        <f t="shared" si="6"/>
        <v>574.50217492290778</v>
      </c>
      <c r="P29" s="210">
        <f t="shared" si="7"/>
        <v>21448.081197121894</v>
      </c>
      <c r="Q29" s="172">
        <f t="shared" si="8"/>
        <v>1200488.6863870004</v>
      </c>
      <c r="R29" s="172">
        <f t="shared" si="9"/>
        <v>331945</v>
      </c>
    </row>
    <row r="30" spans="1:18" x14ac:dyDescent="0.3">
      <c r="A30" s="194">
        <f>IF((B30&gt;(Inputs!$B$7+Inputs!$B$8)),0,IF((B30&lt;Inputs!$B$7),0,((B30-Inputs!$B$7))))</f>
        <v>13</v>
      </c>
      <c r="B30" s="171">
        <f t="shared" si="10"/>
        <v>2041</v>
      </c>
      <c r="C30" s="210">
        <f>VLOOKUP(B30,TrafficData!B14:E60,4,0)</f>
        <v>9286.2550648544948</v>
      </c>
      <c r="D30" s="210">
        <f t="shared" si="0"/>
        <v>578967.0491101282</v>
      </c>
      <c r="E30" s="172">
        <f t="shared" si="1"/>
        <v>10884580.52327041</v>
      </c>
      <c r="F30" s="172">
        <f t="shared" si="2"/>
        <v>2812782</v>
      </c>
      <c r="H30" s="171">
        <f t="shared" si="11"/>
        <v>2041</v>
      </c>
      <c r="I30" s="240">
        <f>_xlfn.XLOOKUP(H30,TrafficData!$B$8:$B$48,TrafficData!$D$8:$D$48)</f>
        <v>592.73968499071248</v>
      </c>
      <c r="J30" s="210">
        <f t="shared" si="3"/>
        <v>22128.948239653262</v>
      </c>
      <c r="K30" s="172">
        <f t="shared" si="4"/>
        <v>716977.92296476569</v>
      </c>
      <c r="L30" s="172">
        <f t="shared" si="5"/>
        <v>185281</v>
      </c>
      <c r="N30" s="171">
        <f t="shared" si="12"/>
        <v>2041</v>
      </c>
      <c r="O30" s="210">
        <f t="shared" si="6"/>
        <v>592.73968499071248</v>
      </c>
      <c r="P30" s="210">
        <f t="shared" si="7"/>
        <v>22128.948239653262</v>
      </c>
      <c r="Q30" s="172">
        <f t="shared" si="8"/>
        <v>1238598.0712769814</v>
      </c>
      <c r="R30" s="172">
        <f t="shared" si="9"/>
        <v>320077</v>
      </c>
    </row>
    <row r="31" spans="1:18" x14ac:dyDescent="0.3">
      <c r="A31" s="194">
        <f>IF((B31&gt;(Inputs!$B$7+Inputs!$B$8)),0,IF((B31&lt;Inputs!$B$7),0,((B31-Inputs!$B$7))))</f>
        <v>14</v>
      </c>
      <c r="B31" s="171">
        <f t="shared" si="10"/>
        <v>2042</v>
      </c>
      <c r="C31" s="210">
        <f>VLOOKUP(B31,TrafficData!B15:E61,4,0)</f>
        <v>9581.0462382042078</v>
      </c>
      <c r="D31" s="210">
        <f t="shared" si="0"/>
        <v>597346.29613123834</v>
      </c>
      <c r="E31" s="172">
        <f t="shared" si="1"/>
        <v>11230110.367267281</v>
      </c>
      <c r="F31" s="172">
        <f t="shared" si="2"/>
        <v>2712219</v>
      </c>
      <c r="H31" s="171">
        <f t="shared" si="11"/>
        <v>2042</v>
      </c>
      <c r="I31" s="240">
        <f>_xlfn.XLOOKUP(H31,TrafficData!$B$8:$B$48,TrafficData!$D$8:$D$48)</f>
        <v>611.55614286409832</v>
      </c>
      <c r="J31" s="210">
        <f t="shared" si="3"/>
        <v>22831.429333593005</v>
      </c>
      <c r="K31" s="172">
        <f t="shared" si="4"/>
        <v>739738.31040841329</v>
      </c>
      <c r="L31" s="172">
        <f t="shared" si="5"/>
        <v>178656</v>
      </c>
      <c r="N31" s="171">
        <f t="shared" si="12"/>
        <v>2042</v>
      </c>
      <c r="O31" s="210">
        <f t="shared" si="6"/>
        <v>611.55614286409832</v>
      </c>
      <c r="P31" s="210">
        <f t="shared" si="7"/>
        <v>22831.429333593005</v>
      </c>
      <c r="Q31" s="172">
        <f t="shared" si="8"/>
        <v>1277917.2345123664</v>
      </c>
      <c r="R31" s="172">
        <f t="shared" si="9"/>
        <v>308634</v>
      </c>
    </row>
    <row r="32" spans="1:18" x14ac:dyDescent="0.3">
      <c r="A32" s="194">
        <f>IF((B32&gt;(Inputs!$B$7+Inputs!$B$8)),0,IF((B32&lt;Inputs!$B$7),0,((B32-Inputs!$B$7))))</f>
        <v>15</v>
      </c>
      <c r="B32" s="171">
        <f t="shared" si="10"/>
        <v>2043</v>
      </c>
      <c r="C32" s="210">
        <f>VLOOKUP(B32,TrafficData!B16:E62,4,0)</f>
        <v>9885.1955258075104</v>
      </c>
      <c r="D32" s="210">
        <f t="shared" si="0"/>
        <v>616308.99038234551</v>
      </c>
      <c r="E32" s="172">
        <f t="shared" si="1"/>
        <v>11586609.019188097</v>
      </c>
      <c r="F32" s="172">
        <f t="shared" si="2"/>
        <v>2615250</v>
      </c>
      <c r="H32" s="171">
        <f t="shared" si="11"/>
        <v>2043</v>
      </c>
      <c r="I32" s="240">
        <f>_xlfn.XLOOKUP(H32,TrafficData!$B$8:$B$48,TrafficData!$D$8:$D$48)</f>
        <v>630.96992717920284</v>
      </c>
      <c r="J32" s="210">
        <f t="shared" si="3"/>
        <v>23556.210614690241</v>
      </c>
      <c r="K32" s="172">
        <f t="shared" si="4"/>
        <v>763221.22391596378</v>
      </c>
      <c r="L32" s="172">
        <f t="shared" si="5"/>
        <v>172269</v>
      </c>
      <c r="N32" s="171">
        <f t="shared" si="12"/>
        <v>2043</v>
      </c>
      <c r="O32" s="210">
        <f t="shared" si="6"/>
        <v>630.96992717920284</v>
      </c>
      <c r="P32" s="210">
        <f t="shared" si="7"/>
        <v>23556.210614690241</v>
      </c>
      <c r="Q32" s="172">
        <f t="shared" si="8"/>
        <v>1318484.5803772758</v>
      </c>
      <c r="R32" s="172">
        <f t="shared" si="9"/>
        <v>297599</v>
      </c>
    </row>
    <row r="33" spans="1:18" x14ac:dyDescent="0.3">
      <c r="A33" s="194">
        <f>IF((B33&gt;(Inputs!$B$7+Inputs!$B$8)),0,IF((B33&lt;Inputs!$B$7),0,((B33-Inputs!$B$7))))</f>
        <v>16</v>
      </c>
      <c r="B33" s="171">
        <f t="shared" si="10"/>
        <v>2044</v>
      </c>
      <c r="C33" s="210">
        <f>VLOOKUP(B33,TrafficData!B17:E63,4,0)</f>
        <v>10199.000000000015</v>
      </c>
      <c r="D33" s="210">
        <f t="shared" si="0"/>
        <v>635873.65333333425</v>
      </c>
      <c r="E33" s="172">
        <f t="shared" si="1"/>
        <v>11954424.682666684</v>
      </c>
      <c r="F33" s="172">
        <f t="shared" si="2"/>
        <v>2521749</v>
      </c>
      <c r="H33" s="171">
        <f t="shared" si="11"/>
        <v>2044</v>
      </c>
      <c r="I33" s="240">
        <f>_xlfn.XLOOKUP(H33,TrafficData!$B$8:$B$48,TrafficData!$D$8:$D$48)</f>
        <v>651.0000000000008</v>
      </c>
      <c r="J33" s="210">
        <f t="shared" si="3"/>
        <v>24304.000000000029</v>
      </c>
      <c r="K33" s="172">
        <f t="shared" si="4"/>
        <v>787449.60000000091</v>
      </c>
      <c r="L33" s="172">
        <f t="shared" si="5"/>
        <v>166110</v>
      </c>
      <c r="N33" s="171">
        <f t="shared" si="12"/>
        <v>2044</v>
      </c>
      <c r="O33" s="210">
        <f t="shared" si="6"/>
        <v>651.0000000000008</v>
      </c>
      <c r="P33" s="210">
        <f t="shared" si="7"/>
        <v>24304.000000000029</v>
      </c>
      <c r="Q33" s="172">
        <f t="shared" si="8"/>
        <v>1360339.7322957213</v>
      </c>
      <c r="R33" s="172">
        <f t="shared" si="9"/>
        <v>286959</v>
      </c>
    </row>
    <row r="34" spans="1:18" x14ac:dyDescent="0.3">
      <c r="A34" s="194">
        <f>IF((B34&gt;(Inputs!$B$7+Inputs!$B$8)),0,IF((B34&lt;Inputs!$B$7),0,((B34-Inputs!$B$7))))</f>
        <v>17</v>
      </c>
      <c r="B34" s="171">
        <f t="shared" si="10"/>
        <v>2045</v>
      </c>
      <c r="C34" s="210">
        <f>VLOOKUP(B34,TrafficData!B18:E64,4,0)</f>
        <v>10199</v>
      </c>
      <c r="D34" s="210">
        <f t="shared" si="0"/>
        <v>635873.65333333332</v>
      </c>
      <c r="E34" s="172">
        <f t="shared" si="1"/>
        <v>11954424.682666667</v>
      </c>
      <c r="F34" s="172">
        <f t="shared" si="2"/>
        <v>2356774</v>
      </c>
      <c r="H34" s="171">
        <f t="shared" si="11"/>
        <v>2045</v>
      </c>
      <c r="I34" s="240">
        <f>_xlfn.XLOOKUP(H34,TrafficData!$B$8:$B$48,TrafficData!$D$8:$D$48)</f>
        <v>651</v>
      </c>
      <c r="J34" s="210">
        <f t="shared" si="3"/>
        <v>24304</v>
      </c>
      <c r="K34" s="172">
        <f t="shared" si="4"/>
        <v>787449.6</v>
      </c>
      <c r="L34" s="172">
        <f t="shared" si="5"/>
        <v>155243</v>
      </c>
      <c r="N34" s="171">
        <f t="shared" si="12"/>
        <v>2045</v>
      </c>
      <c r="O34" s="210">
        <f t="shared" si="6"/>
        <v>651</v>
      </c>
      <c r="P34" s="210">
        <f t="shared" si="7"/>
        <v>24304</v>
      </c>
      <c r="Q34" s="172">
        <f t="shared" si="8"/>
        <v>1360339.7322957197</v>
      </c>
      <c r="R34" s="172">
        <f t="shared" si="9"/>
        <v>268186</v>
      </c>
    </row>
    <row r="35" spans="1:18" x14ac:dyDescent="0.3">
      <c r="A35" s="194">
        <f>IF((B35&gt;(Inputs!$B$7+Inputs!$B$8)),0,IF((B35&lt;Inputs!$B$7),0,((B35-Inputs!$B$7))))</f>
        <v>18</v>
      </c>
      <c r="B35" s="171">
        <f t="shared" si="10"/>
        <v>2046</v>
      </c>
      <c r="C35" s="210">
        <f>VLOOKUP(B35,TrafficData!B19:E65,4,0)</f>
        <v>10522.766163646811</v>
      </c>
      <c r="D35" s="210">
        <f t="shared" si="0"/>
        <v>656059.39441616647</v>
      </c>
      <c r="E35" s="172">
        <f t="shared" si="1"/>
        <v>12333916.61502393</v>
      </c>
      <c r="F35" s="172">
        <f t="shared" si="2"/>
        <v>2272514</v>
      </c>
      <c r="H35" s="171">
        <f t="shared" si="11"/>
        <v>2046</v>
      </c>
      <c r="I35" s="240">
        <f>_xlfn.XLOOKUP(H35,TrafficData!$B$8:$B$48,TrafficData!$D$8:$D$48)</f>
        <v>671.66592533915821</v>
      </c>
      <c r="J35" s="210">
        <f t="shared" si="3"/>
        <v>25075.527879328576</v>
      </c>
      <c r="K35" s="172">
        <f t="shared" si="4"/>
        <v>812447.10329024587</v>
      </c>
      <c r="L35" s="172">
        <f t="shared" si="5"/>
        <v>149693</v>
      </c>
      <c r="N35" s="171">
        <f t="shared" si="12"/>
        <v>2046</v>
      </c>
      <c r="O35" s="210">
        <f t="shared" si="6"/>
        <v>671.66592533915821</v>
      </c>
      <c r="P35" s="210">
        <f t="shared" si="7"/>
        <v>25075.527879328576</v>
      </c>
      <c r="Q35" s="172">
        <f t="shared" si="8"/>
        <v>1403523.5715330683</v>
      </c>
      <c r="R35" s="172">
        <f t="shared" si="9"/>
        <v>258598</v>
      </c>
    </row>
    <row r="36" spans="1:18" x14ac:dyDescent="0.3">
      <c r="A36" s="194">
        <f>IF((B36&gt;(Inputs!$B$7+Inputs!$B$8)),0,IF((B36&lt;Inputs!$B$7),0,((B36-Inputs!$B$7))))</f>
        <v>19</v>
      </c>
      <c r="B36" s="171">
        <f t="shared" si="10"/>
        <v>2047</v>
      </c>
      <c r="C36" s="210">
        <f>VLOOKUP(B36,TrafficData!B20:E66,4,0)</f>
        <v>10856.810249513701</v>
      </c>
      <c r="D36" s="210">
        <f t="shared" si="0"/>
        <v>676885.92968968081</v>
      </c>
      <c r="E36" s="172">
        <f t="shared" si="1"/>
        <v>12725455.478165999</v>
      </c>
      <c r="F36" s="172">
        <f t="shared" si="2"/>
        <v>2191266</v>
      </c>
      <c r="H36" s="171">
        <f t="shared" si="11"/>
        <v>2047</v>
      </c>
      <c r="I36" s="240">
        <f>_xlfn.XLOOKUP(H36,TrafficData!$B$8:$B$48,TrafficData!$D$8:$D$48)</f>
        <v>692.98788826683199</v>
      </c>
      <c r="J36" s="210">
        <f t="shared" si="3"/>
        <v>25871.547828628394</v>
      </c>
      <c r="K36" s="172">
        <f t="shared" si="4"/>
        <v>838238.14964755997</v>
      </c>
      <c r="L36" s="172">
        <f t="shared" si="5"/>
        <v>144341</v>
      </c>
      <c r="N36" s="171">
        <f t="shared" si="12"/>
        <v>2047</v>
      </c>
      <c r="O36" s="210">
        <f t="shared" si="6"/>
        <v>692.98788826683199</v>
      </c>
      <c r="P36" s="210">
        <f t="shared" si="7"/>
        <v>25871.547828628394</v>
      </c>
      <c r="Q36" s="172">
        <f t="shared" si="8"/>
        <v>1448078.2771260804</v>
      </c>
      <c r="R36" s="172">
        <f t="shared" si="9"/>
        <v>249353</v>
      </c>
    </row>
    <row r="37" spans="1:18" x14ac:dyDescent="0.3">
      <c r="A37" s="194">
        <f>IF((B37&gt;(Inputs!$B$7+Inputs!$B$8)),0,IF((B37&lt;Inputs!$B$7),0,((B37-Inputs!$B$7))))</f>
        <v>20</v>
      </c>
      <c r="B37" s="171">
        <f t="shared" si="10"/>
        <v>2048</v>
      </c>
      <c r="C37" s="210">
        <f>VLOOKUP(B37,TrafficData!B21:E67,4,0)</f>
        <v>11201.458529141748</v>
      </c>
      <c r="D37" s="210">
        <f t="shared" ref="D37" si="13">SUM(C37*$B$11)*$B$10*$B$12</f>
        <v>698373.60109689087</v>
      </c>
      <c r="E37" s="323">
        <f>SUM(D37*$B$7)*Inputs!$B$12</f>
        <v>6564711.8503107745</v>
      </c>
      <c r="F37" s="172">
        <f t="shared" ref="F37" si="14">ROUND($E37/((1+B$4)^($B37-$B$5)),0)</f>
        <v>1056461</v>
      </c>
      <c r="H37" s="171">
        <f t="shared" si="11"/>
        <v>2048</v>
      </c>
      <c r="I37" s="240">
        <f>_xlfn.XLOOKUP(H37,TrafficData!$B$8:$B$48,TrafficData!$D$8:$D$48)</f>
        <v>714.98671462606899</v>
      </c>
      <c r="J37" s="210">
        <f t="shared" ref="J37" si="15">I37*$B$10*$B$12</f>
        <v>26692.837346039909</v>
      </c>
      <c r="K37" s="323">
        <f>J37*($B$8)*Inputs!$B$12</f>
        <v>432423.96500584652</v>
      </c>
      <c r="L37" s="172">
        <f t="shared" ref="L37" si="16">ROUND($K37/((1+B$4)^($H37-$B$5)),0)</f>
        <v>69590</v>
      </c>
      <c r="N37" s="171">
        <f t="shared" si="12"/>
        <v>2048</v>
      </c>
      <c r="O37" s="210">
        <f t="shared" ref="O37" si="17">I37</f>
        <v>714.98671462606899</v>
      </c>
      <c r="P37" s="210">
        <f t="shared" ref="P37" si="18">J37</f>
        <v>26692.837346039909</v>
      </c>
      <c r="Q37" s="323">
        <f>P37*($B$9)*Inputs!$B$12</f>
        <v>747023.68354026333</v>
      </c>
      <c r="R37" s="172">
        <f t="shared" ref="R37" si="19">ROUND($Q37/((1+B$4)^($N37-$B$5)),0)</f>
        <v>120219</v>
      </c>
    </row>
    <row r="38" spans="1:18" x14ac:dyDescent="0.3">
      <c r="A38" s="194"/>
      <c r="B38" s="171"/>
      <c r="C38" s="171"/>
      <c r="D38" s="221" t="s">
        <v>228</v>
      </c>
      <c r="E38" s="198">
        <f>SUM(E17:E37)</f>
        <v>200084768.1448721</v>
      </c>
      <c r="F38" s="198">
        <f>SUM(F17:F37)</f>
        <v>63900524</v>
      </c>
      <c r="H38" s="171"/>
      <c r="I38" s="171"/>
      <c r="J38" s="221" t="s">
        <v>228</v>
      </c>
      <c r="K38" s="198">
        <f>SUM(K17:K37)</f>
        <v>13179778.602831615</v>
      </c>
      <c r="L38" s="198">
        <f>SUM(L17:L37)</f>
        <v>4209190</v>
      </c>
      <c r="N38" s="171"/>
      <c r="O38" s="171"/>
      <c r="P38" s="221" t="s">
        <v>228</v>
      </c>
      <c r="Q38" s="198">
        <f>SUM(Q17:Q37)</f>
        <v>22768411.459340144</v>
      </c>
      <c r="R38" s="198">
        <f>SUM(R17:R37)</f>
        <v>7271484</v>
      </c>
    </row>
    <row r="39" spans="1:18" x14ac:dyDescent="0.3">
      <c r="E39" s="5"/>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BE34C-782B-4116-B691-E12252860FEC}">
  <dimension ref="A1:AV43"/>
  <sheetViews>
    <sheetView zoomScaleNormal="100" workbookViewId="0">
      <selection activeCell="N25" sqref="N25"/>
    </sheetView>
  </sheetViews>
  <sheetFormatPr defaultRowHeight="14.4" x14ac:dyDescent="0.3"/>
  <cols>
    <col min="1" max="1" width="10.6640625" style="148" customWidth="1"/>
    <col min="2" max="2" width="50.5546875" style="3" customWidth="1"/>
    <col min="3" max="3" width="12.5546875" style="3" customWidth="1"/>
    <col min="4" max="7" width="11.33203125" style="3" customWidth="1"/>
    <col min="8" max="8" width="12.88671875" style="3" customWidth="1"/>
    <col min="9" max="9" width="11.33203125" style="3" customWidth="1"/>
    <col min="10" max="10" width="10.6640625" style="3" customWidth="1"/>
    <col min="11" max="11" width="18.33203125" style="3" customWidth="1"/>
    <col min="12" max="12" width="14.5546875" style="3" customWidth="1"/>
    <col min="13" max="13" width="11.5546875" style="3" customWidth="1"/>
    <col min="14" max="14" width="18" style="3" customWidth="1"/>
    <col min="15" max="15" width="17.33203125" style="3" customWidth="1"/>
    <col min="16" max="16" width="18.33203125" style="3" customWidth="1"/>
    <col min="17" max="17" width="14.5546875" style="3" customWidth="1"/>
    <col min="18" max="18" width="15.6640625" style="3" customWidth="1"/>
    <col min="19" max="19" width="18" style="3" customWidth="1"/>
    <col min="20" max="20" width="17.33203125" style="3" customWidth="1"/>
    <col min="21" max="21" width="18.33203125" style="3" customWidth="1"/>
    <col min="22" max="22" width="14.5546875" style="3" customWidth="1"/>
    <col min="23" max="23" width="15.6640625" style="3" customWidth="1"/>
    <col min="24" max="24" width="18" style="3" customWidth="1"/>
    <col min="25" max="25" width="17.33203125" style="3" customWidth="1"/>
    <col min="26" max="26" width="18.33203125" style="3" customWidth="1"/>
    <col min="27" max="27" width="14.5546875" style="3" customWidth="1"/>
    <col min="28" max="28" width="15.6640625" style="3" customWidth="1"/>
    <col min="29" max="29" width="18" style="3" customWidth="1"/>
    <col min="30" max="30" width="17.33203125" style="3" customWidth="1"/>
    <col min="31" max="31" width="18.33203125" style="3" customWidth="1"/>
    <col min="32" max="32" width="14.5546875" style="3" customWidth="1"/>
    <col min="33" max="33" width="15.6640625" style="3" customWidth="1"/>
    <col min="34" max="34" width="18" style="3" customWidth="1"/>
    <col min="35" max="35" width="17.33203125" style="3" customWidth="1"/>
    <col min="36" max="36" width="18.33203125" style="3" customWidth="1"/>
    <col min="37" max="37" width="14.5546875" style="3" customWidth="1"/>
    <col min="38" max="38" width="15.6640625" style="3" customWidth="1"/>
    <col min="39" max="39" width="18" style="3" customWidth="1"/>
    <col min="40" max="40" width="17.33203125" style="3" customWidth="1"/>
    <col min="41" max="41" width="18.33203125" style="3" customWidth="1"/>
    <col min="42" max="42" width="14.5546875" style="3" customWidth="1"/>
    <col min="43" max="43" width="15.6640625" style="3" customWidth="1"/>
    <col min="44" max="44" width="18" style="3" customWidth="1"/>
    <col min="45" max="45" width="17.33203125" style="3" customWidth="1"/>
    <col min="46" max="46" width="18.33203125" style="3" customWidth="1"/>
    <col min="47" max="47" width="14.5546875" style="3" customWidth="1"/>
    <col min="48" max="48" width="15.6640625" style="3" customWidth="1"/>
    <col min="49" max="49" width="18" style="3" customWidth="1"/>
    <col min="50" max="50" width="17.33203125" style="3" customWidth="1"/>
    <col min="51" max="51" width="18.33203125" style="3" customWidth="1"/>
    <col min="52" max="52" width="14.5546875" style="3" customWidth="1"/>
    <col min="53" max="53" width="15.6640625" style="3" customWidth="1"/>
    <col min="54" max="54" width="18" style="3" customWidth="1"/>
    <col min="55" max="55" width="17.33203125" style="3" customWidth="1"/>
    <col min="56" max="56" width="18.33203125" style="3" customWidth="1"/>
    <col min="57" max="57" width="14.5546875" style="3" customWidth="1"/>
    <col min="58" max="58" width="15.6640625" style="3" customWidth="1"/>
    <col min="59" max="59" width="18" style="3" customWidth="1"/>
    <col min="60" max="60" width="17.33203125" style="3" customWidth="1"/>
    <col min="61" max="61" width="18.33203125" style="3" customWidth="1"/>
    <col min="62" max="62" width="14.5546875" style="3" customWidth="1"/>
    <col min="63" max="63" width="15.6640625" style="3" customWidth="1"/>
    <col min="64" max="64" width="18" style="3" customWidth="1"/>
    <col min="65" max="65" width="17.33203125" style="3" customWidth="1"/>
    <col min="66" max="66" width="18.33203125" style="3" customWidth="1"/>
    <col min="67" max="67" width="14.5546875" style="3" customWidth="1"/>
    <col min="68" max="68" width="15.6640625" style="3" customWidth="1"/>
    <col min="69" max="16383" width="9.109375" style="3"/>
    <col min="16384" max="16384" width="8.6640625" style="3" bestFit="1" customWidth="1"/>
  </cols>
  <sheetData>
    <row r="1" spans="1:13" x14ac:dyDescent="0.3">
      <c r="B1" s="5" t="s">
        <v>229</v>
      </c>
    </row>
    <row r="2" spans="1:13" x14ac:dyDescent="0.3">
      <c r="B2" s="3" t="s">
        <v>230</v>
      </c>
    </row>
    <row r="4" spans="1:13" x14ac:dyDescent="0.3">
      <c r="B4" s="3" t="str">
        <f>Inputs!A3</f>
        <v xml:space="preserve">Discount Rate </v>
      </c>
      <c r="C4" s="200">
        <f>Inputs!B3</f>
        <v>7.0000000000000007E-2</v>
      </c>
    </row>
    <row r="5" spans="1:13" x14ac:dyDescent="0.3">
      <c r="B5" s="3" t="str">
        <f>Inputs!A10</f>
        <v>Discount year</v>
      </c>
      <c r="C5" s="141">
        <f>Inputs!B10</f>
        <v>2021</v>
      </c>
    </row>
    <row r="6" spans="1:13" x14ac:dyDescent="0.3">
      <c r="B6" s="3" t="str">
        <f>Inputs!A11</f>
        <v>Benefit Year</v>
      </c>
      <c r="C6" s="141">
        <f>Inputs!B11</f>
        <v>2028</v>
      </c>
    </row>
    <row r="7" spans="1:13" x14ac:dyDescent="0.3">
      <c r="B7" s="141" t="str">
        <f>Inputs!A15</f>
        <v>Annualization Factor</v>
      </c>
      <c r="C7" s="141">
        <f>Inputs!B15</f>
        <v>320</v>
      </c>
    </row>
    <row r="8" spans="1:13" x14ac:dyDescent="0.3">
      <c r="B8" s="241" t="str">
        <f>Inputs!A23</f>
        <v>Net Maintenance time savings (hours) per vehicle</v>
      </c>
      <c r="C8" s="242">
        <f>Inputs!B23</f>
        <v>0.5</v>
      </c>
      <c r="J8" s="5"/>
    </row>
    <row r="9" spans="1:13" s="141" customFormat="1" x14ac:dyDescent="0.3">
      <c r="A9" s="154"/>
      <c r="B9" s="158" t="str">
        <f>Inputs!A25</f>
        <v>NC 143 Maintenance detour (annual frequency)</v>
      </c>
      <c r="C9" s="141">
        <f>Inputs!B25</f>
        <v>13</v>
      </c>
      <c r="D9" s="141" t="s">
        <v>231</v>
      </c>
    </row>
    <row r="10" spans="1:13" x14ac:dyDescent="0.3">
      <c r="B10" s="3" t="s">
        <v>232</v>
      </c>
      <c r="C10" s="201">
        <f>'143O&amp;M'!Q602/(C7*24)</f>
        <v>4.433159722222222E-2</v>
      </c>
      <c r="D10" s="202"/>
    </row>
    <row r="11" spans="1:13" x14ac:dyDescent="0.3">
      <c r="B11" s="3" t="s">
        <v>233</v>
      </c>
      <c r="C11" s="242">
        <f>'143O&amp;M'!S605</f>
        <v>3.4458333333333333</v>
      </c>
      <c r="D11" s="3" t="s">
        <v>234</v>
      </c>
      <c r="H11" s="5"/>
    </row>
    <row r="12" spans="1:13" x14ac:dyDescent="0.3">
      <c r="B12" s="3" t="s">
        <v>235</v>
      </c>
      <c r="C12" s="203">
        <f>TrafficData!D3</f>
        <v>0.06</v>
      </c>
    </row>
    <row r="13" spans="1:13" x14ac:dyDescent="0.3">
      <c r="B13" s="3" t="s">
        <v>236</v>
      </c>
      <c r="C13" s="204">
        <f>Inputs!B32</f>
        <v>18.8</v>
      </c>
      <c r="H13" s="243"/>
    </row>
    <row r="14" spans="1:13" x14ac:dyDescent="0.3">
      <c r="B14" s="3" t="str">
        <f>Inputs!A33</f>
        <v>Value of Time, (2021$), truck driver per hour</v>
      </c>
      <c r="C14" s="204">
        <f>Inputs!B33</f>
        <v>32.4</v>
      </c>
      <c r="H14" s="243"/>
    </row>
    <row r="15" spans="1:13" x14ac:dyDescent="0.3">
      <c r="B15" s="3" t="str">
        <f>Inputs!A34</f>
        <v>Truck operating costs per hour (2021$)</v>
      </c>
      <c r="C15" s="204">
        <f>Inputs!B34</f>
        <v>55.971845469705386</v>
      </c>
    </row>
    <row r="16" spans="1:13" x14ac:dyDescent="0.3">
      <c r="B16" s="205" t="s">
        <v>237</v>
      </c>
      <c r="C16" s="141">
        <f>Inputs!B26</f>
        <v>1.67</v>
      </c>
      <c r="M16" s="148"/>
    </row>
    <row r="17" spans="1:48" x14ac:dyDescent="0.3">
      <c r="B17" s="244"/>
      <c r="C17" s="204"/>
      <c r="M17" s="148"/>
    </row>
    <row r="18" spans="1:48" x14ac:dyDescent="0.3">
      <c r="B18" s="141"/>
      <c r="C18" s="245"/>
      <c r="D18" s="191"/>
      <c r="AU18" s="168"/>
      <c r="AV18" s="168"/>
    </row>
    <row r="19" spans="1:48" x14ac:dyDescent="0.3">
      <c r="F19" s="476" t="s">
        <v>238</v>
      </c>
      <c r="G19" s="476"/>
      <c r="H19" s="476"/>
      <c r="I19" s="477" t="s">
        <v>239</v>
      </c>
      <c r="J19" s="477"/>
      <c r="K19" s="478"/>
      <c r="L19" s="171"/>
    </row>
    <row r="20" spans="1:48" s="141" customFormat="1" ht="86.4" x14ac:dyDescent="0.3">
      <c r="A20" s="169" t="s">
        <v>132</v>
      </c>
      <c r="B20" s="18" t="s">
        <v>133</v>
      </c>
      <c r="C20" s="18" t="s">
        <v>240</v>
      </c>
      <c r="D20" s="18" t="s">
        <v>241</v>
      </c>
      <c r="E20" s="18" t="s">
        <v>242</v>
      </c>
      <c r="F20" s="170" t="s">
        <v>243</v>
      </c>
      <c r="G20" s="208" t="s">
        <v>244</v>
      </c>
      <c r="H20" s="208" t="s">
        <v>245</v>
      </c>
      <c r="I20" s="18" t="s">
        <v>246</v>
      </c>
      <c r="J20" s="18" t="s">
        <v>247</v>
      </c>
      <c r="K20" s="209" t="s">
        <v>248</v>
      </c>
      <c r="L20" s="18" t="s">
        <v>249</v>
      </c>
    </row>
    <row r="21" spans="1:48" ht="14.7" customHeight="1" x14ac:dyDescent="0.3">
      <c r="A21" s="148">
        <f>IF((B21&gt;(Inputs!$B$7+Inputs!$B$8)),0,IF((B21&lt;Inputs!$B$7),0,((B21-Inputs!$B$7))))</f>
        <v>0</v>
      </c>
      <c r="B21" s="171">
        <f>Inputs!B11</f>
        <v>2028</v>
      </c>
      <c r="C21" s="210">
        <f>_xlfn.XLOOKUP('Maint Delays Avoidance'!B21,TrafficData!$B$8:$B$48,TrafficData!$C$8:$C$48,)*$C$7</f>
        <v>2105825.9388066344</v>
      </c>
      <c r="D21" s="210">
        <f>C21*$C$10</f>
        <v>93354.627339283688</v>
      </c>
      <c r="E21" s="210">
        <f>SUM(D21*$C$8)</f>
        <v>46677.313669641844</v>
      </c>
      <c r="F21" s="211">
        <f>(1-$C$12)*E21*$C$16</f>
        <v>73274.04699860375</v>
      </c>
      <c r="G21" s="323">
        <f>F21*$C$13*Inputs!$B$12</f>
        <v>688776.04178687523</v>
      </c>
      <c r="H21" s="172">
        <f>ROUND($G21/((1+C$4)^($B21-$C$5)),0)</f>
        <v>428935</v>
      </c>
      <c r="I21" s="211">
        <f>SUM(E21*$C$12)</f>
        <v>2800.6388201785107</v>
      </c>
      <c r="J21" s="323">
        <f>I21*($C$14+$C$15)*Inputs!$B$12</f>
        <v>123748.81051663669</v>
      </c>
      <c r="K21" s="212">
        <f>ROUND($J21/((1+C$4)^($B21-$C$5)),0)</f>
        <v>77065</v>
      </c>
      <c r="L21" s="213">
        <f>SUM(K21,H21)</f>
        <v>506000</v>
      </c>
    </row>
    <row r="22" spans="1:48" ht="14.7" customHeight="1" x14ac:dyDescent="0.3">
      <c r="A22" s="148">
        <f>IF((B22&gt;(Inputs!$B$7+Inputs!$B$8)),0,IF((B22&lt;Inputs!$B$7),0,((B22-Inputs!$B$7))))</f>
        <v>1</v>
      </c>
      <c r="B22" s="171">
        <f>B21+1</f>
        <v>2029</v>
      </c>
      <c r="C22" s="210">
        <f>_xlfn.XLOOKUP('Maint Delays Avoidance'!B22,TrafficData!$B$8:$B$48,TrafficData!$C$8:$C$48,)*$C$7</f>
        <v>2172675.1578982486</v>
      </c>
      <c r="D22" s="210">
        <f t="shared" ref="D22:D40" si="0">C22*$C$10</f>
        <v>96318.159994673217</v>
      </c>
      <c r="E22" s="210">
        <f t="shared" ref="E22:E40" si="1">SUM(D22*$C$8)</f>
        <v>48159.079997336608</v>
      </c>
      <c r="F22" s="211">
        <f t="shared" ref="F22:F40" si="2">(1-$C$12)*E22*$C$16</f>
        <v>75600.123779818998</v>
      </c>
      <c r="G22" s="172">
        <f t="shared" ref="G22:G40" si="3">F22*$C$13</f>
        <v>1421282.3270605973</v>
      </c>
      <c r="H22" s="172">
        <f t="shared" ref="H22:H40" si="4">ROUND($G22/((1+C$4)^($B22-$C$5)),0)</f>
        <v>827199</v>
      </c>
      <c r="I22" s="211">
        <f t="shared" ref="I22:I40" si="5">SUM(E22*$C$12)</f>
        <v>2889.5447998401964</v>
      </c>
      <c r="J22" s="172">
        <f t="shared" ref="J22:J40" si="6">I22*($C$14+$C$15)</f>
        <v>255354.40652926863</v>
      </c>
      <c r="K22" s="212">
        <f t="shared" ref="K22:K40" si="7">ROUND($J22/((1+C$4)^($B22-$C$5)),0)</f>
        <v>148619</v>
      </c>
      <c r="L22" s="213">
        <f t="shared" ref="L22:L40" si="8">SUM(K22,H22)</f>
        <v>975818</v>
      </c>
    </row>
    <row r="23" spans="1:48" x14ac:dyDescent="0.3">
      <c r="A23" s="148">
        <f>IF((B23&gt;(Inputs!$B$7+Inputs!$B$8)),0,IF((B23&lt;Inputs!$B$7),0,((B23-Inputs!$B$7))))</f>
        <v>2</v>
      </c>
      <c r="B23" s="171">
        <f t="shared" ref="B23:B41" si="9">B22+1</f>
        <v>2030</v>
      </c>
      <c r="C23" s="210">
        <f>_xlfn.XLOOKUP('Maint Delays Avoidance'!B23,TrafficData!$B$8:$B$48,TrafficData!$C$8:$C$48,)*$C$7</f>
        <v>2241646.498296665</v>
      </c>
      <c r="D23" s="210">
        <f t="shared" si="0"/>
        <v>99375.769677092598</v>
      </c>
      <c r="E23" s="210">
        <f t="shared" si="1"/>
        <v>49687.884838546299</v>
      </c>
      <c r="F23" s="211">
        <f t="shared" si="2"/>
        <v>78000.041619549971</v>
      </c>
      <c r="G23" s="172">
        <f t="shared" si="3"/>
        <v>1466400.7824475395</v>
      </c>
      <c r="H23" s="172">
        <f t="shared" si="4"/>
        <v>797625</v>
      </c>
      <c r="I23" s="211">
        <f t="shared" si="5"/>
        <v>2981.2730903127776</v>
      </c>
      <c r="J23" s="172">
        <f t="shared" si="6"/>
        <v>263460.6048401118</v>
      </c>
      <c r="K23" s="212">
        <f t="shared" si="7"/>
        <v>143305</v>
      </c>
      <c r="L23" s="213">
        <f t="shared" si="8"/>
        <v>940930</v>
      </c>
    </row>
    <row r="24" spans="1:48" x14ac:dyDescent="0.3">
      <c r="A24" s="148">
        <f>IF((B24&gt;(Inputs!$B$7+Inputs!$B$8)),0,IF((B24&lt;Inputs!$B$7),0,((B24-Inputs!$B$7))))</f>
        <v>3</v>
      </c>
      <c r="B24" s="171">
        <f t="shared" si="9"/>
        <v>2031</v>
      </c>
      <c r="C24" s="210">
        <f>_xlfn.XLOOKUP('Maint Delays Avoidance'!B24,TrafficData!$B$8:$B$48,TrafficData!$C$8:$C$48,)*$C$7</f>
        <v>2312807.3265156886</v>
      </c>
      <c r="D24" s="210">
        <f t="shared" si="0"/>
        <v>102530.4428516981</v>
      </c>
      <c r="E24" s="210">
        <f>SUM(D24*$C$8)</f>
        <v>51265.221425849049</v>
      </c>
      <c r="F24" s="211">
        <f t="shared" si="2"/>
        <v>80476.144594297832</v>
      </c>
      <c r="G24" s="172">
        <f>F24*$C$13</f>
        <v>1512951.5183727993</v>
      </c>
      <c r="H24" s="172">
        <f t="shared" si="4"/>
        <v>769108</v>
      </c>
      <c r="I24" s="211">
        <f t="shared" si="5"/>
        <v>3075.9132855509429</v>
      </c>
      <c r="J24" s="172">
        <f t="shared" si="6"/>
        <v>271824.13354892173</v>
      </c>
      <c r="K24" s="212">
        <f t="shared" si="7"/>
        <v>138182</v>
      </c>
      <c r="L24" s="213">
        <f t="shared" si="8"/>
        <v>907290</v>
      </c>
    </row>
    <row r="25" spans="1:48" x14ac:dyDescent="0.3">
      <c r="A25" s="148">
        <f>IF((B25&gt;(Inputs!$B$7+Inputs!$B$8)),0,IF((B25&lt;Inputs!$B$7),0,((B25-Inputs!$B$7))))</f>
        <v>4</v>
      </c>
      <c r="B25" s="171">
        <f t="shared" si="9"/>
        <v>2032</v>
      </c>
      <c r="C25" s="210">
        <f>_xlfn.XLOOKUP('Maint Delays Avoidance'!B25,TrafficData!$B$8:$B$48,TrafficData!$C$8:$C$48,)*$C$7</f>
        <v>2386227.147611896</v>
      </c>
      <c r="D25" s="210">
        <f t="shared" si="0"/>
        <v>105785.26078866278</v>
      </c>
      <c r="E25" s="210">
        <f t="shared" si="1"/>
        <v>52892.630394331391</v>
      </c>
      <c r="F25" s="211">
        <f t="shared" si="2"/>
        <v>83030.851193021401</v>
      </c>
      <c r="G25" s="172">
        <f t="shared" si="3"/>
        <v>1560980.0024288024</v>
      </c>
      <c r="H25" s="172">
        <f t="shared" si="4"/>
        <v>741610</v>
      </c>
      <c r="I25" s="211">
        <f t="shared" si="5"/>
        <v>3173.5578236598835</v>
      </c>
      <c r="J25" s="172">
        <f t="shared" si="6"/>
        <v>280453.16158164578</v>
      </c>
      <c r="K25" s="212">
        <f t="shared" si="7"/>
        <v>133241</v>
      </c>
      <c r="L25" s="213">
        <f t="shared" si="8"/>
        <v>874851</v>
      </c>
    </row>
    <row r="26" spans="1:48" x14ac:dyDescent="0.3">
      <c r="A26" s="148">
        <f>IF((B26&gt;(Inputs!$B$7+Inputs!$B$8)),0,IF((B26&lt;Inputs!$B$7),0,((B26-Inputs!$B$7))))</f>
        <v>5</v>
      </c>
      <c r="B26" s="171">
        <f t="shared" si="9"/>
        <v>2033</v>
      </c>
      <c r="C26" s="210">
        <f>_xlfn.XLOOKUP('Maint Delays Avoidance'!B26,TrafficData!$B$8:$B$48,TrafficData!$C$8:$C$48,)*$C$7</f>
        <v>2461977.6730724489</v>
      </c>
      <c r="D26" s="210">
        <f t="shared" si="0"/>
        <v>109143.4025727517</v>
      </c>
      <c r="E26" s="210">
        <f t="shared" si="1"/>
        <v>54571.70128637585</v>
      </c>
      <c r="F26" s="211">
        <f t="shared" si="2"/>
        <v>85666.656679352804</v>
      </c>
      <c r="G26" s="172">
        <f t="shared" si="3"/>
        <v>1610533.1455718328</v>
      </c>
      <c r="H26" s="172">
        <f t="shared" si="4"/>
        <v>715096</v>
      </c>
      <c r="I26" s="211">
        <f t="shared" si="5"/>
        <v>3274.3020771825509</v>
      </c>
      <c r="J26" s="172">
        <f t="shared" si="6"/>
        <v>289356.11718591175</v>
      </c>
      <c r="K26" s="212">
        <f t="shared" si="7"/>
        <v>128478</v>
      </c>
      <c r="L26" s="213">
        <f t="shared" si="8"/>
        <v>843574</v>
      </c>
    </row>
    <row r="27" spans="1:48" x14ac:dyDescent="0.3">
      <c r="A27" s="148">
        <f>IF((B27&gt;(Inputs!$B$7+Inputs!$B$8)),0,IF((B27&lt;Inputs!$B$7),0,((B27-Inputs!$B$7))))</f>
        <v>6</v>
      </c>
      <c r="B27" s="171">
        <f t="shared" si="9"/>
        <v>2034</v>
      </c>
      <c r="C27" s="210">
        <f>_xlfn.XLOOKUP('Maint Delays Avoidance'!B27,TrafficData!$B$8:$B$48,TrafficData!$C$8:$C$48,)*$C$7</f>
        <v>2540132.8908579941</v>
      </c>
      <c r="D27" s="210">
        <f t="shared" si="0"/>
        <v>112608.14820843555</v>
      </c>
      <c r="E27" s="210">
        <f t="shared" si="1"/>
        <v>56304.074104217776</v>
      </c>
      <c r="F27" s="211">
        <f t="shared" si="2"/>
        <v>88386.135528801053</v>
      </c>
      <c r="G27" s="172">
        <f t="shared" si="3"/>
        <v>1661659.3479414599</v>
      </c>
      <c r="H27" s="172">
        <f t="shared" si="4"/>
        <v>689530</v>
      </c>
      <c r="I27" s="211">
        <f t="shared" si="5"/>
        <v>3378.2444462530666</v>
      </c>
      <c r="J27" s="172">
        <f t="shared" si="6"/>
        <v>298541.69616316649</v>
      </c>
      <c r="K27" s="212">
        <f t="shared" si="7"/>
        <v>123884</v>
      </c>
      <c r="L27" s="213">
        <f t="shared" si="8"/>
        <v>813414</v>
      </c>
    </row>
    <row r="28" spans="1:48" x14ac:dyDescent="0.3">
      <c r="A28" s="148">
        <f>IF((B28&gt;(Inputs!$B$7+Inputs!$B$8)),0,IF((B28&lt;Inputs!$B$7),0,((B28-Inputs!$B$7))))</f>
        <v>7</v>
      </c>
      <c r="B28" s="171">
        <f t="shared" si="9"/>
        <v>2035</v>
      </c>
      <c r="C28" s="210">
        <f>_xlfn.XLOOKUP('Maint Delays Avoidance'!B28,TrafficData!$B$8:$B$48,TrafficData!$C$8:$C$48,)*$C$7</f>
        <v>2620769.1376690716</v>
      </c>
      <c r="D28" s="210">
        <f t="shared" si="0"/>
        <v>116182.88182357594</v>
      </c>
      <c r="E28" s="210">
        <f t="shared" si="1"/>
        <v>58091.44091178797</v>
      </c>
      <c r="F28" s="211">
        <f t="shared" si="2"/>
        <v>91191.943943324746</v>
      </c>
      <c r="G28" s="172">
        <f t="shared" si="3"/>
        <v>1714408.5461345052</v>
      </c>
      <c r="H28" s="172">
        <f t="shared" si="4"/>
        <v>664877</v>
      </c>
      <c r="I28" s="211">
        <f t="shared" si="5"/>
        <v>3485.486454707278</v>
      </c>
      <c r="J28" s="172">
        <f t="shared" si="6"/>
        <v>308018.87036214286</v>
      </c>
      <c r="K28" s="212">
        <f t="shared" si="7"/>
        <v>119455</v>
      </c>
      <c r="L28" s="213">
        <f t="shared" si="8"/>
        <v>784332</v>
      </c>
    </row>
    <row r="29" spans="1:48" x14ac:dyDescent="0.3">
      <c r="A29" s="148">
        <f>IF((B29&gt;(Inputs!$B$7+Inputs!$B$8)),0,IF((B29&lt;Inputs!$B$7),0,((B29-Inputs!$B$7))))</f>
        <v>8</v>
      </c>
      <c r="B29" s="171">
        <f t="shared" si="9"/>
        <v>2036</v>
      </c>
      <c r="C29" s="210">
        <f>_xlfn.XLOOKUP('Maint Delays Avoidance'!B29,TrafficData!$B$8:$B$48,TrafficData!$C$8:$C$48,)*$C$7</f>
        <v>2703965.173506612</v>
      </c>
      <c r="D29" s="210">
        <f t="shared" si="0"/>
        <v>119871.09497481135</v>
      </c>
      <c r="E29" s="210">
        <f t="shared" si="1"/>
        <v>59935.547487405674</v>
      </c>
      <c r="F29" s="211">
        <f>(1-$C$12)*E29*$C$16</f>
        <v>94086.822445729427</v>
      </c>
      <c r="G29" s="172">
        <f t="shared" si="3"/>
        <v>1768832.2619797133</v>
      </c>
      <c r="H29" s="172">
        <f t="shared" si="4"/>
        <v>641106</v>
      </c>
      <c r="I29" s="211">
        <f t="shared" si="5"/>
        <v>3596.1328492443404</v>
      </c>
      <c r="J29" s="172">
        <f t="shared" si="6"/>
        <v>317796.89644195221</v>
      </c>
      <c r="K29" s="212">
        <f t="shared" si="7"/>
        <v>115184</v>
      </c>
      <c r="L29" s="213">
        <f t="shared" si="8"/>
        <v>756290</v>
      </c>
    </row>
    <row r="30" spans="1:48" x14ac:dyDescent="0.3">
      <c r="A30" s="148">
        <f>IF((B30&gt;(Inputs!$B$7+Inputs!$B$8)),0,IF((B30&lt;Inputs!$B$7),0,((B30-Inputs!$B$7))))</f>
        <v>9</v>
      </c>
      <c r="B30" s="171">
        <f t="shared" si="9"/>
        <v>2037</v>
      </c>
      <c r="C30" s="210">
        <f>_xlfn.XLOOKUP('Maint Delays Avoidance'!B30,TrafficData!$B$8:$B$48,TrafficData!$C$8:$C$48,)*$C$7</f>
        <v>2789802.2585993493</v>
      </c>
      <c r="D30" s="210">
        <f t="shared" si="0"/>
        <v>123676.3900578722</v>
      </c>
      <c r="E30" s="210">
        <f t="shared" si="1"/>
        <v>61838.195028936098</v>
      </c>
      <c r="F30" s="211">
        <f t="shared" si="2"/>
        <v>97073.59855642388</v>
      </c>
      <c r="G30" s="172">
        <f t="shared" si="3"/>
        <v>1824983.6528607691</v>
      </c>
      <c r="H30" s="172">
        <f t="shared" si="4"/>
        <v>618185</v>
      </c>
      <c r="I30" s="211">
        <f t="shared" si="5"/>
        <v>3710.2917017361656</v>
      </c>
      <c r="J30" s="172">
        <f t="shared" si="6"/>
        <v>327885.32491335867</v>
      </c>
      <c r="K30" s="212">
        <f t="shared" si="7"/>
        <v>111066</v>
      </c>
      <c r="L30" s="213">
        <f t="shared" si="8"/>
        <v>729251</v>
      </c>
    </row>
    <row r="31" spans="1:48" x14ac:dyDescent="0.3">
      <c r="A31" s="148">
        <f>IF((B31&gt;(Inputs!$B$7+Inputs!$B$8)),0,IF((B31&lt;Inputs!$B$7),0,((B31-Inputs!$B$7))))</f>
        <v>10</v>
      </c>
      <c r="B31" s="171">
        <f t="shared" si="9"/>
        <v>2038</v>
      </c>
      <c r="C31" s="210">
        <f>_xlfn.XLOOKUP('Maint Delays Avoidance'!B31,TrafficData!$B$8:$B$48,TrafficData!$C$8:$C$48,)*$C$7</f>
        <v>2878364.2327732802</v>
      </c>
      <c r="D31" s="210">
        <f t="shared" si="0"/>
        <v>127602.48382615575</v>
      </c>
      <c r="E31" s="210">
        <f t="shared" si="1"/>
        <v>63801.241913077873</v>
      </c>
      <c r="F31" s="211">
        <f t="shared" si="2"/>
        <v>100155.18955514964</v>
      </c>
      <c r="G31" s="172">
        <f t="shared" si="3"/>
        <v>1882917.5636368133</v>
      </c>
      <c r="H31" s="172">
        <f t="shared" si="4"/>
        <v>596083</v>
      </c>
      <c r="I31" s="211">
        <f t="shared" si="5"/>
        <v>3828.0745147846724</v>
      </c>
      <c r="J31" s="172">
        <f t="shared" si="6"/>
        <v>338294.00946706854</v>
      </c>
      <c r="K31" s="212">
        <f t="shared" si="7"/>
        <v>107095</v>
      </c>
      <c r="L31" s="213">
        <f t="shared" si="8"/>
        <v>703178</v>
      </c>
    </row>
    <row r="32" spans="1:48" x14ac:dyDescent="0.3">
      <c r="A32" s="148">
        <f>IF((B32&gt;(Inputs!$B$7+Inputs!$B$8)),0,IF((B32&lt;Inputs!$B$7),0,((B32-Inputs!$B$7))))</f>
        <v>11</v>
      </c>
      <c r="B32" s="171">
        <f t="shared" si="9"/>
        <v>2039</v>
      </c>
      <c r="C32" s="210">
        <f>_xlfn.XLOOKUP('Maint Delays Avoidance'!B32,TrafficData!$B$8:$B$48,TrafficData!$C$8:$C$48,)*$C$7</f>
        <v>2969737.5973407091</v>
      </c>
      <c r="D32" s="210">
        <f t="shared" si="0"/>
        <v>131653.21102099828</v>
      </c>
      <c r="E32" s="210">
        <f t="shared" si="1"/>
        <v>65826.605510499139</v>
      </c>
      <c r="F32" s="211">
        <f t="shared" si="2"/>
        <v>103334.60533038154</v>
      </c>
      <c r="G32" s="172">
        <f t="shared" si="3"/>
        <v>1942690.580211173</v>
      </c>
      <c r="H32" s="172">
        <f t="shared" si="4"/>
        <v>574772</v>
      </c>
      <c r="I32" s="211">
        <f t="shared" si="5"/>
        <v>3949.5963306299482</v>
      </c>
      <c r="J32" s="172">
        <f t="shared" si="6"/>
        <v>349033.11659814522</v>
      </c>
      <c r="K32" s="212">
        <f t="shared" si="7"/>
        <v>103266</v>
      </c>
      <c r="L32" s="213">
        <f t="shared" si="8"/>
        <v>678038</v>
      </c>
    </row>
    <row r="33" spans="1:16" x14ac:dyDescent="0.3">
      <c r="A33" s="148">
        <f>IF((B33&gt;(Inputs!$B$7+Inputs!$B$8)),0,IF((B33&lt;Inputs!$B$7),0,((B33-Inputs!$B$7))))</f>
        <v>12</v>
      </c>
      <c r="B33" s="171">
        <f t="shared" si="9"/>
        <v>2040</v>
      </c>
      <c r="C33" s="210">
        <f>_xlfn.XLOOKUP('Maint Delays Avoidance'!B33,TrafficData!$B$8:$B$48,TrafficData!$C$8:$C$48,)*$C$7</f>
        <v>3064011.5995888417</v>
      </c>
      <c r="D33" s="210">
        <f t="shared" si="0"/>
        <v>135832.52811718936</v>
      </c>
      <c r="E33" s="210">
        <f t="shared" si="1"/>
        <v>67916.264058594679</v>
      </c>
      <c r="F33" s="211">
        <f t="shared" si="2"/>
        <v>106614.95131918191</v>
      </c>
      <c r="G33" s="172">
        <f t="shared" si="3"/>
        <v>2004361.0848006201</v>
      </c>
      <c r="H33" s="172">
        <f t="shared" si="4"/>
        <v>554223</v>
      </c>
      <c r="I33" s="211">
        <f t="shared" si="5"/>
        <v>4074.9758435156805</v>
      </c>
      <c r="J33" s="172">
        <f t="shared" si="6"/>
        <v>360113.13553595007</v>
      </c>
      <c r="K33" s="212">
        <f t="shared" si="7"/>
        <v>99574</v>
      </c>
      <c r="L33" s="213">
        <f t="shared" si="8"/>
        <v>653797</v>
      </c>
    </row>
    <row r="34" spans="1:16" x14ac:dyDescent="0.3">
      <c r="A34" s="148">
        <f>IF((B34&gt;(Inputs!$B$7+Inputs!$B$8)),0,IF((B34&lt;Inputs!$B$7),0,((B34-Inputs!$B$7))))</f>
        <v>13</v>
      </c>
      <c r="B34" s="171">
        <f t="shared" si="9"/>
        <v>2041</v>
      </c>
      <c r="C34" s="210">
        <f>_xlfn.XLOOKUP('Maint Delays Avoidance'!B34,TrafficData!$B$8:$B$48,TrafficData!$C$8:$C$48,)*$C$7</f>
        <v>3161278.3199504665</v>
      </c>
      <c r="D34" s="210">
        <f t="shared" si="0"/>
        <v>140144.51718738742</v>
      </c>
      <c r="E34" s="210">
        <f t="shared" si="1"/>
        <v>70072.25859369371</v>
      </c>
      <c r="F34" s="211">
        <f t="shared" si="2"/>
        <v>109999.43154038038</v>
      </c>
      <c r="G34" s="172">
        <f t="shared" si="3"/>
        <v>2067989.3129591511</v>
      </c>
      <c r="H34" s="172">
        <f t="shared" si="4"/>
        <v>534408</v>
      </c>
      <c r="I34" s="211">
        <f t="shared" si="5"/>
        <v>4204.3355156216221</v>
      </c>
      <c r="J34" s="172">
        <f t="shared" si="6"/>
        <v>371544.88848930813</v>
      </c>
      <c r="K34" s="212">
        <f t="shared" si="7"/>
        <v>96014</v>
      </c>
      <c r="L34" s="213">
        <f t="shared" si="8"/>
        <v>630422</v>
      </c>
    </row>
    <row r="35" spans="1:16" x14ac:dyDescent="0.3">
      <c r="A35" s="148">
        <f>IF((B35&gt;(Inputs!$B$7+Inputs!$B$8)),0,IF((B35&lt;Inputs!$B$7),0,((B35-Inputs!$B$7))))</f>
        <v>14</v>
      </c>
      <c r="B35" s="171">
        <f t="shared" si="9"/>
        <v>2042</v>
      </c>
      <c r="C35" s="210">
        <f>_xlfn.XLOOKUP('Maint Delays Avoidance'!B35,TrafficData!$B$8:$B$48,TrafficData!$C$8:$C$48,)*$C$7</f>
        <v>3261632.7619418576</v>
      </c>
      <c r="D35" s="210">
        <f t="shared" si="0"/>
        <v>144593.38988921064</v>
      </c>
      <c r="E35" s="210">
        <f t="shared" si="1"/>
        <v>72296.694944605319</v>
      </c>
      <c r="F35" s="211">
        <f t="shared" si="2"/>
        <v>113491.35172404142</v>
      </c>
      <c r="G35" s="172">
        <f t="shared" si="3"/>
        <v>2133637.4124119789</v>
      </c>
      <c r="H35" s="172">
        <f t="shared" si="4"/>
        <v>515301</v>
      </c>
      <c r="I35" s="211">
        <f t="shared" si="5"/>
        <v>4337.8016966763189</v>
      </c>
      <c r="J35" s="172">
        <f t="shared" si="6"/>
        <v>383339.54121690552</v>
      </c>
      <c r="K35" s="212">
        <f t="shared" si="7"/>
        <v>92582</v>
      </c>
      <c r="L35" s="213">
        <f t="shared" si="8"/>
        <v>607883</v>
      </c>
    </row>
    <row r="36" spans="1:16" x14ac:dyDescent="0.3">
      <c r="A36" s="148">
        <f>IF((B36&gt;(Inputs!$B$7+Inputs!$B$8)),0,IF((B36&lt;Inputs!$B$7),0,((B36-Inputs!$B$7))))</f>
        <v>15</v>
      </c>
      <c r="B36" s="171">
        <f t="shared" si="9"/>
        <v>2043</v>
      </c>
      <c r="C36" s="210">
        <f>_xlfn.XLOOKUP('Maint Delays Avoidance'!B36,TrafficData!$B$8:$B$48,TrafficData!$C$8:$C$48,)*$C$7</f>
        <v>3365172.9449557485</v>
      </c>
      <c r="D36" s="210">
        <f t="shared" si="0"/>
        <v>149183.49157889764</v>
      </c>
      <c r="E36" s="210">
        <f t="shared" si="1"/>
        <v>74591.745789448818</v>
      </c>
      <c r="F36" s="211">
        <f t="shared" si="2"/>
        <v>117094.12254027673</v>
      </c>
      <c r="G36" s="172">
        <f t="shared" si="3"/>
        <v>2201369.5037572025</v>
      </c>
      <c r="H36" s="172">
        <f t="shared" si="4"/>
        <v>496878</v>
      </c>
      <c r="I36" s="211">
        <f t="shared" si="5"/>
        <v>4475.5047473669292</v>
      </c>
      <c r="J36" s="172">
        <f t="shared" si="6"/>
        <v>395508.61393324315</v>
      </c>
      <c r="K36" s="212">
        <f t="shared" si="7"/>
        <v>89272</v>
      </c>
      <c r="L36" s="213">
        <f t="shared" si="8"/>
        <v>586150</v>
      </c>
    </row>
    <row r="37" spans="1:16" x14ac:dyDescent="0.3">
      <c r="A37" s="148">
        <f>IF((B37&gt;(Inputs!$B$7+Inputs!$B$8)),0,IF((B37&lt;Inputs!$B$7),0,((B37-Inputs!$B$7))))</f>
        <v>16</v>
      </c>
      <c r="B37" s="171">
        <f t="shared" si="9"/>
        <v>2044</v>
      </c>
      <c r="C37" s="210">
        <f>_xlfn.XLOOKUP('Maint Delays Avoidance'!B37,TrafficData!$B$8:$B$48,TrafficData!$C$8:$C$48,)*$C$7</f>
        <v>3472000.0000000047</v>
      </c>
      <c r="D37" s="210">
        <f t="shared" si="0"/>
        <v>153919.30555555577</v>
      </c>
      <c r="E37" s="210">
        <f t="shared" si="1"/>
        <v>76959.652777777883</v>
      </c>
      <c r="F37" s="211">
        <f t="shared" si="2"/>
        <v>120811.26293055571</v>
      </c>
      <c r="G37" s="172">
        <f t="shared" si="3"/>
        <v>2271251.7430944475</v>
      </c>
      <c r="H37" s="172">
        <f t="shared" si="4"/>
        <v>479113</v>
      </c>
      <c r="I37" s="211">
        <f t="shared" si="5"/>
        <v>4617.5791666666728</v>
      </c>
      <c r="J37" s="172">
        <f t="shared" si="6"/>
        <v>408063.99256079819</v>
      </c>
      <c r="K37" s="212">
        <f t="shared" si="7"/>
        <v>86080</v>
      </c>
      <c r="L37" s="213">
        <f t="shared" si="8"/>
        <v>565193</v>
      </c>
    </row>
    <row r="38" spans="1:16" x14ac:dyDescent="0.3">
      <c r="A38" s="148">
        <f>IF((B38&gt;(Inputs!$B$7+Inputs!$B$8)),0,IF((B38&lt;Inputs!$B$7),0,((B38-Inputs!$B$7))))</f>
        <v>17</v>
      </c>
      <c r="B38" s="171">
        <f t="shared" si="9"/>
        <v>2045</v>
      </c>
      <c r="C38" s="210">
        <f>_xlfn.XLOOKUP('Maint Delays Avoidance'!B38,TrafficData!$B$8:$B$48,TrafficData!$C$8:$C$48,)*$C$7</f>
        <v>3472000</v>
      </c>
      <c r="D38" s="210">
        <f t="shared" si="0"/>
        <v>153919.30555555556</v>
      </c>
      <c r="E38" s="210">
        <f t="shared" si="1"/>
        <v>76959.652777777781</v>
      </c>
      <c r="F38" s="211">
        <f t="shared" si="2"/>
        <v>120811.26293055553</v>
      </c>
      <c r="G38" s="172">
        <f t="shared" si="3"/>
        <v>2271251.7430944443</v>
      </c>
      <c r="H38" s="172">
        <f t="shared" si="4"/>
        <v>447770</v>
      </c>
      <c r="I38" s="211">
        <f t="shared" si="5"/>
        <v>4617.5791666666664</v>
      </c>
      <c r="J38" s="172">
        <f t="shared" si="6"/>
        <v>408063.99256079766</v>
      </c>
      <c r="K38" s="212">
        <f t="shared" si="7"/>
        <v>80448</v>
      </c>
      <c r="L38" s="213">
        <f t="shared" si="8"/>
        <v>528218</v>
      </c>
    </row>
    <row r="39" spans="1:16" x14ac:dyDescent="0.3">
      <c r="A39" s="148">
        <f>IF((B39&gt;(Inputs!$B$7+Inputs!$B$8)),0,IF((B39&lt;Inputs!$B$7),0,((B39-Inputs!$B$7))))</f>
        <v>18</v>
      </c>
      <c r="B39" s="171">
        <f t="shared" si="9"/>
        <v>2046</v>
      </c>
      <c r="C39" s="210">
        <f>_xlfn.XLOOKUP('Maint Delays Avoidance'!B39,TrafficData!$B$8:$B$48,TrafficData!$C$8:$C$48,)*$C$7</f>
        <v>3582218.2684755102</v>
      </c>
      <c r="D39" s="210">
        <f t="shared" si="0"/>
        <v>158805.45744014261</v>
      </c>
      <c r="E39" s="210">
        <f t="shared" si="1"/>
        <v>79402.728720071304</v>
      </c>
      <c r="F39" s="211">
        <f t="shared" si="2"/>
        <v>124646.40354476792</v>
      </c>
      <c r="G39" s="172">
        <f t="shared" si="3"/>
        <v>2343352.386641637</v>
      </c>
      <c r="H39" s="172">
        <f t="shared" si="4"/>
        <v>431761</v>
      </c>
      <c r="I39" s="211">
        <f t="shared" si="5"/>
        <v>4764.1637232042776</v>
      </c>
      <c r="J39" s="172">
        <f t="shared" si="6"/>
        <v>421017.94033938472</v>
      </c>
      <c r="K39" s="212">
        <f t="shared" si="7"/>
        <v>77572</v>
      </c>
      <c r="L39" s="213">
        <f t="shared" si="8"/>
        <v>509333</v>
      </c>
    </row>
    <row r="40" spans="1:16" x14ac:dyDescent="0.3">
      <c r="A40" s="148">
        <f>IF((B40&gt;(Inputs!$B$7+Inputs!$B$8)),0,IF((B40&lt;Inputs!$B$7),0,((B40-Inputs!$B$7))))</f>
        <v>19</v>
      </c>
      <c r="B40" s="171">
        <f t="shared" si="9"/>
        <v>2047</v>
      </c>
      <c r="C40" s="210">
        <f>_xlfn.XLOOKUP('Maint Delays Avoidance'!B40,TrafficData!$B$8:$B$48,TrafficData!$C$8:$C$48,)*$C$7</f>
        <v>3695935.4040897707</v>
      </c>
      <c r="D40" s="210">
        <f t="shared" si="0"/>
        <v>163846.71969345884</v>
      </c>
      <c r="E40" s="210">
        <f t="shared" si="1"/>
        <v>81923.359846729421</v>
      </c>
      <c r="F40" s="211">
        <f t="shared" si="2"/>
        <v>128603.29028739584</v>
      </c>
      <c r="G40" s="172">
        <f t="shared" si="3"/>
        <v>2417741.8574030418</v>
      </c>
      <c r="H40" s="172">
        <f t="shared" si="4"/>
        <v>416324</v>
      </c>
      <c r="I40" s="211">
        <f t="shared" si="5"/>
        <v>4915.4015908037654</v>
      </c>
      <c r="J40" s="172">
        <f t="shared" si="6"/>
        <v>434383.10980405443</v>
      </c>
      <c r="K40" s="212">
        <f t="shared" si="7"/>
        <v>74799</v>
      </c>
      <c r="L40" s="213">
        <f t="shared" si="8"/>
        <v>491123</v>
      </c>
    </row>
    <row r="41" spans="1:16" x14ac:dyDescent="0.3">
      <c r="A41" s="148">
        <f>IF((B41&gt;(Inputs!$B$7+Inputs!$B$8)),0,IF((B41&lt;Inputs!$B$7),0,((B41-Inputs!$B$7))))</f>
        <v>20</v>
      </c>
      <c r="B41" s="171">
        <f t="shared" si="9"/>
        <v>2048</v>
      </c>
      <c r="C41" s="210">
        <f>_xlfn.XLOOKUP('Maint Delays Avoidance'!B41,TrafficData!$B$8:$B$48,TrafficData!$C$8:$C$48,)*$C$7</f>
        <v>3813262.4780057017</v>
      </c>
      <c r="D41" s="210">
        <f>C41*$C$10</f>
        <v>169048.01627756178</v>
      </c>
      <c r="E41" s="210">
        <f t="shared" ref="E41" si="10">SUM(D41*$C$8)</f>
        <v>84524.00813878089</v>
      </c>
      <c r="F41" s="211">
        <f t="shared" ref="F41" si="11">(1-$C$12)*E41*$C$16</f>
        <v>132685.78797625823</v>
      </c>
      <c r="G41" s="323">
        <f>F41*$C$13*Inputs!$B$12</f>
        <v>1247246.4069768274</v>
      </c>
      <c r="H41" s="172">
        <f t="shared" ref="H41" si="12">ROUND($G41/((1+C$4)^($B41-$C$5)),0)</f>
        <v>200720</v>
      </c>
      <c r="I41" s="211">
        <f t="shared" ref="I41" si="13">SUM(E41*$C$12)</f>
        <v>5071.4404883268535</v>
      </c>
      <c r="J41" s="323">
        <f>I41*($C$14+$C$15)*Inputs!$B$12</f>
        <v>224086.27757161396</v>
      </c>
      <c r="K41" s="212">
        <f t="shared" ref="K41" si="14">ROUND($J41/((1+C$4)^($B41-$C$5)),0)</f>
        <v>36062</v>
      </c>
      <c r="L41" s="213">
        <f t="shared" ref="L41" si="15">SUM(K41,H41)</f>
        <v>236782</v>
      </c>
    </row>
    <row r="42" spans="1:16" x14ac:dyDescent="0.3">
      <c r="J42" s="145"/>
      <c r="K42" s="145"/>
      <c r="M42" s="145"/>
      <c r="N42" s="145"/>
      <c r="P42" s="171"/>
    </row>
    <row r="43" spans="1:16" x14ac:dyDescent="0.3">
      <c r="H43" s="214">
        <f>SUM(H21:H41)</f>
        <v>12140624</v>
      </c>
      <c r="I43" s="145"/>
      <c r="J43" s="214"/>
      <c r="K43" s="214">
        <f>SUM(K21:K41)</f>
        <v>2181243</v>
      </c>
      <c r="L43" s="198">
        <f>SUM(L21:L41)</f>
        <v>14321867</v>
      </c>
    </row>
  </sheetData>
  <mergeCells count="2">
    <mergeCell ref="F19:H19"/>
    <mergeCell ref="I19:K19"/>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469C997053AA46964D732B63252D5E" ma:contentTypeVersion="4" ma:contentTypeDescription="Create a new document." ma:contentTypeScope="" ma:versionID="63f32a6ba681fabf106541d09c9db1af">
  <xsd:schema xmlns:xsd="http://www.w3.org/2001/XMLSchema" xmlns:xs="http://www.w3.org/2001/XMLSchema" xmlns:p="http://schemas.microsoft.com/office/2006/metadata/properties" xmlns:ns1="http://schemas.microsoft.com/sharepoint/v3" xmlns:ns2="16f00c2e-ac5c-418b-9f13-a0771dbd417d" xmlns:ns3="986f155c-e0ef-43cf-b86c-c49d19c4cf9e" targetNamespace="http://schemas.microsoft.com/office/2006/metadata/properties" ma:root="true" ma:fieldsID="27eab72218ae3616fa24413a1c794df0" ns1:_="" ns2:_="" ns3:_="">
    <xsd:import namespace="http://schemas.microsoft.com/sharepoint/v3"/>
    <xsd:import namespace="16f00c2e-ac5c-418b-9f13-a0771dbd417d"/>
    <xsd:import namespace="986f155c-e0ef-43cf-b86c-c49d19c4cf9e"/>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1:PublishingStartDate" minOccurs="0"/>
                <xsd:element ref="ns1:PublishingExpirationDate" minOccurs="0"/>
                <xsd:element ref="ns3:Category" minOccurs="0"/>
                <xsd:element ref="ns3:Sor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6"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PublishingStartDate" ma:index="7"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8"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3" nillable="true" ma:displayName="Document ID Value" ma:description="The value of the document ID assigned to this item." ma:internalName="_dlc_DocId" ma:readOnly="true">
      <xsd:simpleType>
        <xsd:restriction base="dms:Text"/>
      </xsd:simpleType>
    </xsd:element>
    <xsd:element name="_dlc_DocIdUrl" ma:index="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86f155c-e0ef-43cf-b86c-c49d19c4cf9e" elementFormDefault="qualified">
    <xsd:import namespace="http://schemas.microsoft.com/office/2006/documentManagement/types"/>
    <xsd:import namespace="http://schemas.microsoft.com/office/infopath/2007/PartnerControls"/>
    <xsd:element name="Category" ma:index="9" nillable="true" ma:displayName="Category" ma:format="Dropdown" ma:internalName="Category" ma:readOnly="false">
      <xsd:simpleType>
        <xsd:restriction base="dms:Choice">
          <xsd:enumeration value="Appendices and Supporting Information"/>
          <xsd:enumeration value="Application Information"/>
          <xsd:enumeration value="Business"/>
          <xsd:enumeration value="Crash Data"/>
          <xsd:enumeration value="Letters of Support"/>
          <xsd:enumeration value="NC Government"/>
          <xsd:enumeration value="Operations and Maintenance"/>
          <xsd:enumeration value="Organizations"/>
          <xsd:enumeration value="Technical Studies"/>
          <xsd:enumeration value="White Papers"/>
        </xsd:restriction>
      </xsd:simpleType>
    </xsd:element>
    <xsd:element name="SortOrder" ma:index="10" nillable="true" ma:displayName="SortOrder" ma:decimals="0" ma:internalName="SortOrder"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URL xmlns="http://schemas.microsoft.com/sharepoint/v3">
      <Url xsi:nil="true"/>
      <Description xsi:nil="true"/>
    </URL>
    <PublishingExpirationDate xmlns="http://schemas.microsoft.com/sharepoint/v3" xsi:nil="true"/>
    <PublishingStartDate xmlns="http://schemas.microsoft.com/sharepoint/v3" xsi:nil="true"/>
    <Category xmlns="986f155c-e0ef-43cf-b86c-c49d19c4cf9e">Application Information</Category>
    <SortOrder xmlns="986f155c-e0ef-43cf-b86c-c49d19c4cf9e">10</SortOrder>
    <_dlc_DocId xmlns="16f00c2e-ac5c-418b-9f13-a0771dbd417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6B8D851D-911B-4ECC-91D2-47B8D61D40BB}"/>
</file>

<file path=customXml/itemProps2.xml><?xml version="1.0" encoding="utf-8"?>
<ds:datastoreItem xmlns:ds="http://schemas.openxmlformats.org/officeDocument/2006/customXml" ds:itemID="{CEBD99D3-84E2-4243-9C79-0906D050ACBF}">
  <ds:schemaRefs>
    <ds:schemaRef ds:uri="http://purl.org/dc/terms/"/>
    <ds:schemaRef ds:uri="91c73102-73b2-45e7-9440-3e8555a80c56"/>
    <ds:schemaRef ds:uri="http://schemas.microsoft.com/office/2006/documentManagement/types"/>
    <ds:schemaRef ds:uri="http://schemas.microsoft.com/office/infopath/2007/PartnerControls"/>
    <ds:schemaRef ds:uri="http://purl.org/dc/elements/1.1/"/>
    <ds:schemaRef ds:uri="http://schemas.microsoft.com/office/2006/metadata/properties"/>
    <ds:schemaRef ds:uri="859dca02-6c48-48e7-85e9-9ea7a8ae8197"/>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EA41E63-D4F0-4A7B-96D0-374EF5A8E552}">
  <ds:schemaRefs>
    <ds:schemaRef ds:uri="http://schemas.microsoft.com/sharepoint/v3/contenttype/forms"/>
  </ds:schemaRefs>
</ds:datastoreItem>
</file>

<file path=customXml/itemProps4.xml><?xml version="1.0" encoding="utf-8"?>
<ds:datastoreItem xmlns:ds="http://schemas.openxmlformats.org/officeDocument/2006/customXml" ds:itemID="{753C6C18-F952-4BB9-BDEB-4722B1D40B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BCA-Summary</vt:lpstr>
      <vt:lpstr>ImpactMatrix</vt:lpstr>
      <vt:lpstr>CapitalCosts </vt:lpstr>
      <vt:lpstr>Inputs</vt:lpstr>
      <vt:lpstr>O&amp;M_Costs</vt:lpstr>
      <vt:lpstr>Safety</vt:lpstr>
      <vt:lpstr>Wildlife Safety</vt:lpstr>
      <vt:lpstr>TT_Savings</vt:lpstr>
      <vt:lpstr>Maint Delays Avoidance</vt:lpstr>
      <vt:lpstr>DMS Delay Avoidance</vt:lpstr>
      <vt:lpstr>ParatransitTT_Savings</vt:lpstr>
      <vt:lpstr>SignalCoord</vt:lpstr>
      <vt:lpstr>AgAccess</vt:lpstr>
      <vt:lpstr>EmergencyServices</vt:lpstr>
      <vt:lpstr>Emissions-Idling</vt:lpstr>
      <vt:lpstr>Non-Motorist Savings</vt:lpstr>
      <vt:lpstr>Residual</vt:lpstr>
      <vt:lpstr>143O&amp;M</vt:lpstr>
      <vt:lpstr>TIMS_Summary</vt:lpstr>
      <vt:lpstr>TrafficData</vt:lpstr>
      <vt:lpstr>AT User Data</vt:lpstr>
      <vt:lpstr>Emissions Rates</vt:lpstr>
      <vt:lpstr>CMFs</vt:lpstr>
      <vt:lpstr>Cost&amp;Schedule</vt:lpstr>
      <vt:lpstr>ARTI TruckOp_hr</vt:lpstr>
      <vt:lpstr>Deflator</vt:lpstr>
    </vt:vector>
  </TitlesOfParts>
  <Manager/>
  <Company>AECOM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 Calculations - locked</dc:title>
  <dc:subject/>
  <dc:creator>Santhanam, Srividya</dc:creator>
  <cp:keywords/>
  <dc:description/>
  <cp:lastModifiedBy>Steven L. Hulsey</cp:lastModifiedBy>
  <cp:revision/>
  <dcterms:created xsi:type="dcterms:W3CDTF">2018-06-12T20:00:02Z</dcterms:created>
  <dcterms:modified xsi:type="dcterms:W3CDTF">2023-08-17T13:35:34Z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0x010100BF469C997053AA46964D732B63252D5E</vt:lpwstr>
  </property>
  <property fmtid="{D5CDD505-2E9C-101B-9397-08002B2CF9AE}" pid="3" name="Order">
    <vt:r8>14700</vt:r8>
  </property>
  <property fmtid="{D5CDD505-2E9C-101B-9397-08002B2CF9AE}" pid="4" name="MediaServiceImageTags">
    <vt:lpwstr/>
  </property>
</Properties>
</file>